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Hofkirchen\Website\"/>
    </mc:Choice>
  </mc:AlternateContent>
  <xr:revisionPtr revIDLastSave="0" documentId="13_ncr:1_{1DB60B7B-1447-462D-A9A0-A9D0CC230A08}" xr6:coauthVersionLast="47" xr6:coauthVersionMax="47" xr10:uidLastSave="{00000000-0000-0000-0000-000000000000}"/>
  <bookViews>
    <workbookView xWindow="-8505" yWindow="-16320" windowWidth="29040" windowHeight="15720" xr2:uid="{00000000-000D-0000-FFFF-FFFF00000000}"/>
  </bookViews>
  <sheets>
    <sheet name="Vergleich Pivater anschluss" sheetId="1" r:id="rId1"/>
  </sheets>
  <definedNames>
    <definedName name="_xlnm.Print_Area" localSheetId="0">'Vergleich Pivater anschluss'!$A$2:$I$133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" l="1"/>
  <c r="G61" i="1" s="1"/>
  <c r="G64" i="1" s="1"/>
  <c r="C32" i="1" l="1"/>
  <c r="C39" i="1" s="1"/>
  <c r="B12" i="1"/>
  <c r="B11" i="1"/>
  <c r="C18" i="1"/>
  <c r="C25" i="1" s="1"/>
  <c r="G75" i="1"/>
  <c r="G76" i="1" s="1"/>
  <c r="G79" i="1" s="1"/>
  <c r="G47" i="1"/>
  <c r="G48" i="1" s="1"/>
  <c r="G51" i="1" s="1"/>
  <c r="C40" i="1"/>
  <c r="C26" i="1"/>
  <c r="C59" i="1" l="1"/>
  <c r="C66" i="1" s="1"/>
  <c r="C68" i="1" s="1"/>
  <c r="G66" i="1" s="1"/>
  <c r="C34" i="1"/>
  <c r="C61" i="1" l="1"/>
  <c r="C64" i="1" s="1"/>
  <c r="C69" i="1" s="1"/>
  <c r="G67" i="1" s="1"/>
  <c r="G68" i="1" s="1"/>
  <c r="C97" i="1" s="1"/>
  <c r="C123" i="1"/>
  <c r="C117" i="1"/>
  <c r="G65" i="1" l="1"/>
  <c r="C105" i="1" s="1"/>
  <c r="G35" i="1"/>
  <c r="G21" i="1"/>
  <c r="C41" i="1" l="1"/>
  <c r="G37" i="1" s="1"/>
  <c r="C37" i="1"/>
  <c r="C42" i="1" s="1"/>
  <c r="G38" i="1" s="1"/>
  <c r="G36" i="1" l="1"/>
  <c r="C103" i="1" s="1"/>
  <c r="G39" i="1" l="1"/>
  <c r="C95" i="1" s="1"/>
  <c r="C20" i="1"/>
  <c r="C23" i="1" s="1"/>
  <c r="C27" i="1"/>
  <c r="C73" i="1" l="1"/>
  <c r="G23" i="1"/>
  <c r="C46" i="1"/>
  <c r="G53" i="1" s="1"/>
  <c r="C28" i="1"/>
  <c r="G24" i="1" s="1"/>
  <c r="G22" i="1"/>
  <c r="C102" i="1" s="1"/>
  <c r="G25" i="1" l="1"/>
  <c r="C94" i="1" s="1"/>
  <c r="C77" i="1"/>
  <c r="C80" i="1" s="1"/>
  <c r="G80" i="1" s="1"/>
  <c r="C129" i="1"/>
  <c r="C51" i="1"/>
  <c r="C82" i="1"/>
  <c r="C84" i="1" s="1"/>
  <c r="G81" i="1" s="1"/>
  <c r="C55" i="1" l="1"/>
  <c r="G54" i="1" s="1"/>
  <c r="G55" i="1" s="1"/>
  <c r="C96" i="1" s="1"/>
  <c r="G52" i="1"/>
  <c r="C104" i="1" s="1"/>
  <c r="C85" i="1"/>
  <c r="C106" i="1"/>
  <c r="C109" i="1" l="1"/>
  <c r="D109" i="1" s="1"/>
  <c r="C110" i="1"/>
  <c r="D110" i="1" s="1"/>
  <c r="C112" i="1"/>
  <c r="D112" i="1" s="1"/>
  <c r="C86" i="1"/>
  <c r="G82" i="1" s="1"/>
  <c r="G83" i="1" s="1"/>
  <c r="C98" i="1" s="1"/>
  <c r="C111" i="1"/>
  <c r="D111" i="1" l="1"/>
  <c r="B129" i="1"/>
  <c r="B123" i="1"/>
  <c r="B1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Windows-Benutzer</author>
    <author>Kilian Mittermeier</author>
  </authors>
  <commentList>
    <comment ref="C10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Hier wählen zwischen Öl und Gasheizung
</t>
        </r>
      </text>
    </comment>
    <comment ref="B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bei Gasheizungen die älter als 10 Jahre sind ist davon auszugehen dass keine Brennwertnutzung vorhanden ist - somit sinkt wirkungsgrad ab
Brennwertanlagen ca. 90 % Wirkungsgrad
normale anlagen ca. 80 % Wirkungsgrad</t>
        </r>
      </text>
    </comment>
    <comment ref="G1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Spanne liegt zwischen 16.000 und 22.000 €
einfach bei Heizungsbauer fragen und selber veränder</t>
        </r>
      </text>
    </comment>
    <comment ref="C19" authorId="0" shapeId="0" xr:uid="{00000000-0006-0000-0000-000004000000}">
      <text>
        <r>
          <rPr>
            <sz val="10"/>
            <rFont val="Arial"/>
            <family val="2"/>
          </rPr>
          <t xml:space="preserve">Hier den geschätzten Ölpreis je Liter im Durchschnitt der nächsten 10 Jahre eintragen
ACHTUNG Brutto Preis eintragen
</t>
        </r>
      </text>
    </comment>
    <comment ref="G20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Aussage Energieberater Norm sogar nur bei 15 Jahre
</t>
        </r>
      </text>
    </comment>
    <comment ref="C25" authorId="0" shapeId="0" xr:uid="{099E1C3A-EEB3-4052-820E-6168A51E711F}">
      <text>
        <r>
          <rPr>
            <sz val="9"/>
            <color indexed="81"/>
            <rFont val="Tahoma"/>
            <family val="2"/>
          </rPr>
          <t>Kilowatt Brennstoffenergie die tats bezogen worden sind (Faktor 1,11 umbrechnung von Heizwert auf Brennwert)
heizwert * 1,11 = brennwert</t>
        </r>
      </text>
    </comment>
    <comment ref="C26" authorId="0" shapeId="0" xr:uid="{00000000-0006-0000-0000-000006000000}">
      <text>
        <r>
          <rPr>
            <sz val="9"/>
            <color indexed="81"/>
            <rFont val="Tahoma"/>
            <family val="2"/>
          </rPr>
          <t>Durchschnittlicher Wirkungsgrad einer Ölheizung laut Energieberater ; Alter ca. 15 Jahre</t>
        </r>
      </text>
    </comment>
    <comment ref="G3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Wagner:
</t>
        </r>
        <r>
          <rPr>
            <sz val="9"/>
            <color indexed="81"/>
            <rFont val="Tahoma"/>
            <family val="2"/>
          </rPr>
          <t>Spanne liegt zwischen 16.000 und 22.000 €
einfach bei Heizungsbauer fragen und selber verändern
Kosten für Erdtank Miete/Kauf ned vergessen!</t>
        </r>
      </text>
    </comment>
    <comment ref="C33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Gaspreis je Liter (Flüssiggas) im Durchschnitt der nächsten 10 Jahre schätzen und eintragen
</t>
        </r>
      </text>
    </comment>
    <comment ref="G3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Aussage Energieberater Norm sogar nur bei 15 Jahre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39" authorId="0" shapeId="0" xr:uid="{00000000-0006-0000-0000-00000B000000}">
      <text>
        <r>
          <rPr>
            <sz val="9"/>
            <color indexed="81"/>
            <rFont val="Tahoma"/>
            <family val="2"/>
          </rPr>
          <t>Umrechnung von Flüssiggas:
7,13 KW/h je Liter</t>
        </r>
      </text>
    </comment>
    <comment ref="C40" authorId="0" shapeId="0" xr:uid="{00000000-0006-0000-0000-00000C000000}">
      <text>
        <r>
          <rPr>
            <sz val="9"/>
            <color indexed="81"/>
            <rFont val="Tahoma"/>
            <family val="2"/>
          </rPr>
          <t>bei Brennwertnutzung 90 % 
bei keiner Brennwertnutzung 80%</t>
        </r>
      </text>
    </comment>
    <comment ref="C46" authorId="0" shapeId="0" xr:uid="{00000000-0006-0000-0000-00000D000000}">
      <text>
        <r>
          <rPr>
            <sz val="9"/>
            <color indexed="81"/>
            <rFont val="Tahoma"/>
            <family val="2"/>
          </rPr>
          <t>nach benötigter Wärmemenge (netto) Gas und Ölheizung</t>
        </r>
      </text>
    </comment>
    <comment ref="G46" authorId="0" shapeId="0" xr:uid="{00000000-0006-0000-0000-00000E000000}">
      <text>
        <r>
          <rPr>
            <sz val="9"/>
            <color indexed="81"/>
            <rFont val="Tahoma"/>
            <family val="2"/>
          </rPr>
          <t>Spanne liegt zwischen 30.000 und 40.000 €
Zusätzlich anfallende Kosten für Umrüstung 
(Niedrigenergieheizkörper, Fußbodenheizung, energetische Sanierung) + ca. 10.000 - 20.000 €</t>
        </r>
      </text>
    </comment>
    <comment ref="C47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
selber schätzen wie hoch der Strompreis die nächsten Jahre sein wird</t>
        </r>
      </text>
    </comment>
    <comment ref="F47" authorId="1" shapeId="0" xr:uid="{2EE2548B-CE5B-4362-903A-F90A40178051}">
      <text>
        <r>
          <rPr>
            <sz val="9"/>
            <color indexed="81"/>
            <rFont val="Segoe UI"/>
            <family val="2"/>
          </rPr>
          <t xml:space="preserve">Wählen Sie Ihren individuellen Fördersatz
(Infos Website)
</t>
        </r>
      </text>
    </comment>
    <comment ref="C48" authorId="0" shapeId="0" xr:uid="{00000000-0006-0000-0000-000011000000}">
      <text>
        <r>
          <rPr>
            <sz val="9"/>
            <color indexed="81"/>
            <rFont val="Tahoma"/>
            <family val="2"/>
          </rPr>
          <t>Nach Aussage Energieberater: bei Altbau (keine gute energetische Bausubstanz, keine Niedrigenergieheizkörper, keine Fußbodenheizung) keine Installation Wärmepumpe sinnvoll/wirtschaftlich
Bei Altbau mit Umbau (Niedrigenergieheizkörper, Fußbodenheizung, energetische Sanierung) COP bei ca 2,5 - 3
Bei Neubauten auch höhere COP möglich</t>
        </r>
      </text>
    </comment>
    <comment ref="G50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Aussage Energieberater Norm sogar nur bei 15 Jahre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59" authorId="0" shapeId="0" xr:uid="{7614CD98-953B-4C43-BF21-00AC9B4C9561}">
      <text>
        <r>
          <rPr>
            <b/>
            <sz val="9"/>
            <color indexed="81"/>
            <rFont val="Tahoma"/>
            <family val="2"/>
          </rPr>
          <t xml:space="preserve">Hier geschätzte Kosten Pelletheizung eingeben
Preise Variriern zwischen 40.000 und 60.000 €
</t>
        </r>
      </text>
    </comment>
    <comment ref="C60" authorId="0" shapeId="0" xr:uid="{23515D81-6ADC-40A6-BC33-2859073E27F1}">
      <text>
        <r>
          <rPr>
            <b/>
            <sz val="9"/>
            <color indexed="81"/>
            <rFont val="Tahoma"/>
            <family val="2"/>
          </rPr>
          <t>Hier geschätzten Pelletspreis der nächsten 10 Jahre eingeben
Historie 10 Jahre Pelletspres = 281 €
Höchster Preis letzten Jahre 838 €
geschätzter Preis Wagner Durchschnitt nächsten 10 Jahre ca. 400 €</t>
        </r>
      </text>
    </comment>
    <comment ref="F60" authorId="1" shapeId="0" xr:uid="{C0BF6708-7790-4C32-9F63-9CBFB7FA74B1}">
      <text>
        <r>
          <rPr>
            <sz val="9"/>
            <color indexed="81"/>
            <rFont val="Segoe UI"/>
            <family val="2"/>
          </rPr>
          <t xml:space="preserve">Wählen Sie Ihren individuellen Fördersatz
(Infos Website)
</t>
        </r>
      </text>
    </comment>
    <comment ref="G63" authorId="0" shapeId="0" xr:uid="{AA2E166B-F767-4E56-A88E-49212CD1A845}">
      <text>
        <r>
          <rPr>
            <b/>
            <sz val="9"/>
            <color indexed="81"/>
            <rFont val="Tahoma"/>
            <family val="2"/>
          </rPr>
          <t xml:space="preserve">Wagner:
</t>
        </r>
        <r>
          <rPr>
            <sz val="9"/>
            <color indexed="81"/>
            <rFont val="Tahoma"/>
            <family val="2"/>
          </rPr>
          <t>Aussage Energieberater Norm sogar nur bei 15 Jahre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66" authorId="0" shapeId="0" xr:uid="{972A600F-D147-4B09-BC2F-2935DC1A63D6}">
      <text>
        <r>
          <rPr>
            <b/>
            <sz val="9"/>
            <color indexed="81"/>
            <rFont val="Tahoma"/>
            <family val="2"/>
          </rPr>
          <t>Wagner</t>
        </r>
        <r>
          <rPr>
            <sz val="9"/>
            <color indexed="81"/>
            <rFont val="Tahoma"/>
            <family val="2"/>
          </rPr>
          <t xml:space="preserve">
Kilowatt Brennstoffenergie die tats bezogen worden sind (Faktor 1,11 umbrechnung von Heizwert auf Brennwert)
heizwert * 1,11 = brennwert</t>
        </r>
      </text>
    </comment>
    <comment ref="C67" authorId="0" shapeId="0" xr:uid="{4B54BED4-7E3F-4C9E-BA4C-6BB802AA4387}">
      <text>
        <r>
          <rPr>
            <b/>
            <sz val="9"/>
            <color indexed="81"/>
            <rFont val="Tahoma"/>
            <family val="2"/>
          </rPr>
          <t>Jahresnutzungsgrad Pellet bei ca. 80 %</t>
        </r>
      </text>
    </comment>
    <comment ref="G73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Beinhaltet:
- ganze Erdarbeiten - vollständiger Hausanschluss,
- Übergabestation
- Übergabestation primärseitig verrohrt 
 etc. auf Website ersichtlich </t>
        </r>
      </text>
    </comment>
    <comment ref="C74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12,00 Cent/kwh Netto Arbeitspreis 
Startpreis
Grundsätzlich kommen Preise in eine Preisgleitklausel - Steigerung abhängig von Staatlichen Index des Statistischen Bundesamtes 
geschätzter Preisanstieg ca. 2-4 % Jahr
</t>
        </r>
      </text>
    </comment>
    <comment ref="G74" authorId="0" shapeId="0" xr:uid="{00000000-0006-0000-0000-000015000000}">
      <text>
        <r>
          <rPr>
            <sz val="9"/>
            <color indexed="81"/>
            <rFont val="Tahoma"/>
            <family val="2"/>
          </rPr>
          <t xml:space="preserve">Kosten Umbau Sekundärseite 
Ist bei jedem Haus individuell , muss vom Heizungsbauer angeboten werden. Durchschnittlichen Anschlussgebühren auf ca. 8.000 - 14.000 €. (Schätzung)
Kosten beeinhalten den Sekundärseitigen Umbau
(Angebotseinholung bei Heizungsbauer)
-Verrohrung
-Pufferspeicher
-evtl. neuer Boiler
-evtl. Austausch Pumpen
-Fühler, Mischventile 
- elektrischer Anschluss
- Entsorgung Altheizung+ Brennstoffe
- ....
</t>
        </r>
      </text>
    </comment>
    <comment ref="F75" authorId="1" shapeId="0" xr:uid="{0D9CF7EB-FD64-48EC-B0B1-4E1F5674ADCB}">
      <text>
        <r>
          <rPr>
            <sz val="9"/>
            <color indexed="81"/>
            <rFont val="Segoe UI"/>
            <family val="2"/>
          </rPr>
          <t xml:space="preserve">Wählen Sie Ihren individuellen Fördersatz
(Infos Website)
</t>
        </r>
      </text>
    </comment>
    <comment ref="C78" authorId="0" shapeId="0" xr:uid="{00000000-0006-0000-0000-000018000000}">
      <text>
        <r>
          <rPr>
            <sz val="9"/>
            <color indexed="81"/>
            <rFont val="Tahoma"/>
            <family val="2"/>
          </rPr>
          <t xml:space="preserve">Es können nur Wartungskosten an Pumpen, Verteiler anfallen- nicht an der Übergabestation - Wartung der Station wird duch ECO- Landwärme übernommen
</t>
        </r>
      </text>
    </comment>
    <comment ref="G78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Nutzungsdauer Ferwärmeanlage - Wartung und Reperatur liegt bei 100 % bei ECO-Landwärme
kein Kosten für Instandhaltung bei Kunde
Kunde trägt nur Instandhaltung und Wartung seiner Heizverteilung</t>
        </r>
      </text>
    </comment>
  </commentList>
</comments>
</file>

<file path=xl/sharedStrings.xml><?xml version="1.0" encoding="utf-8"?>
<sst xmlns="http://schemas.openxmlformats.org/spreadsheetml/2006/main" count="243" uniqueCount="112">
  <si>
    <t>m² /Haus</t>
  </si>
  <si>
    <t>Öl</t>
  </si>
  <si>
    <t>Gas</t>
  </si>
  <si>
    <t>Bitte ausfüllen</t>
  </si>
  <si>
    <t>Bitte nicht ausfüllen</t>
  </si>
  <si>
    <t>ja</t>
  </si>
  <si>
    <t>nein</t>
  </si>
  <si>
    <t>Ölheizung</t>
  </si>
  <si>
    <t xml:space="preserve">Ölverbrauch </t>
  </si>
  <si>
    <t>€/l</t>
  </si>
  <si>
    <t>€</t>
  </si>
  <si>
    <t>Wartung und Reperatur</t>
  </si>
  <si>
    <t>Kaminkerher</t>
  </si>
  <si>
    <t>Wärmenge</t>
  </si>
  <si>
    <t>%</t>
  </si>
  <si>
    <t>tatsächliche Wärmemenge</t>
  </si>
  <si>
    <t>Variable Kosten Jahr Öl</t>
  </si>
  <si>
    <t>Wärmepreis pro Kilowattstunde</t>
  </si>
  <si>
    <t>Zins</t>
  </si>
  <si>
    <t>Nutzungsdauer</t>
  </si>
  <si>
    <t>Jahre</t>
  </si>
  <si>
    <t>€/Jahr</t>
  </si>
  <si>
    <t>Insgesamte Kosten pro Jahr</t>
  </si>
  <si>
    <t>insg Kosten pro KWh</t>
  </si>
  <si>
    <t>Cent/kwh</t>
  </si>
  <si>
    <t>Jahreskosten Heizmaterial</t>
  </si>
  <si>
    <t>plus Heizkosten Gas pro kw/h</t>
  </si>
  <si>
    <t>Heizkosten Fernwärme pro Jahr</t>
  </si>
  <si>
    <t>Kosten Umbau Heizungsbauer</t>
  </si>
  <si>
    <t>plus Heizkosten pro kw/h</t>
  </si>
  <si>
    <t>Gasheizung</t>
  </si>
  <si>
    <t>Fernwärme</t>
  </si>
  <si>
    <t>Gesamtkosten pro jahr</t>
  </si>
  <si>
    <t>mit Abschreibung €/Jahr</t>
  </si>
  <si>
    <t>Einsparung gegenüber Öl</t>
  </si>
  <si>
    <t>Einsparung gegenüber Gas</t>
  </si>
  <si>
    <t>Grundgebühr pro Jahr</t>
  </si>
  <si>
    <t>€ /pro Jahr</t>
  </si>
  <si>
    <t>Ersparnis auf 10 Jahre</t>
  </si>
  <si>
    <t>Ersparnis pro Jahr</t>
  </si>
  <si>
    <t>Heizölpreis Durchschnitt nächsten 10 Jahre</t>
  </si>
  <si>
    <t>Festkosten pro Kwh</t>
  </si>
  <si>
    <t>Kosten für eine neue Gasheizung</t>
  </si>
  <si>
    <t>Kosten Anschluss Fernwärmenetz</t>
  </si>
  <si>
    <t>Ergebnisse</t>
  </si>
  <si>
    <t>Welche Heizung ist bisher vorhanden?</t>
  </si>
  <si>
    <t xml:space="preserve"> </t>
  </si>
  <si>
    <t>Brennwertanlage bei Gas oder Öl ja/nein?</t>
  </si>
  <si>
    <t>Gaspreis Durchschnitt der nächsten 10 Jahre</t>
  </si>
  <si>
    <t>Gaskosten insg. pro Jahr</t>
  </si>
  <si>
    <t>tatsächliche genutzte Wärmemenge</t>
  </si>
  <si>
    <t>Nutzungsdauer der Anlage</t>
  </si>
  <si>
    <t>Feste Kosten pro Jahr (Zins+ Abschreibung)</t>
  </si>
  <si>
    <t>Zins angenommen</t>
  </si>
  <si>
    <t>Festkosten pro kw/h</t>
  </si>
  <si>
    <t>Heizölkosten insg. pro Jahr</t>
  </si>
  <si>
    <t>l/Jahr</t>
  </si>
  <si>
    <t>kw/h /Jahr</t>
  </si>
  <si>
    <t>kWh</t>
  </si>
  <si>
    <t>Jahresnutzungsgrad</t>
  </si>
  <si>
    <t>Kaminkehrer</t>
  </si>
  <si>
    <t>Brennstoffenergie</t>
  </si>
  <si>
    <t>Kosten für eine neue Ölheizung</t>
  </si>
  <si>
    <t>Festkosten pro kWh</t>
  </si>
  <si>
    <t>plus Heizölkosten pro kWh</t>
  </si>
  <si>
    <t>Variable Kosten Jahr Gas</t>
  </si>
  <si>
    <t>Brennwert</t>
  </si>
  <si>
    <t>kein brennwert</t>
  </si>
  <si>
    <t>Brennstoffenergie (in Heizwert)</t>
  </si>
  <si>
    <t>Cent/kWh</t>
  </si>
  <si>
    <t xml:space="preserve">Einsparpotenzial pro Jahr gegenüber fossile Heizungen </t>
  </si>
  <si>
    <t>mit Abschreibung Cent pro KWh</t>
  </si>
  <si>
    <t>Kosten pro kWh</t>
  </si>
  <si>
    <t>Übersicht Preisentwicklung bei verschiedenen Brennstoffpreisen</t>
  </si>
  <si>
    <t>Wärmemenge tatsächlich bezogen</t>
  </si>
  <si>
    <t>Durchschnittpreis der nächsten 10 Jahre</t>
  </si>
  <si>
    <t xml:space="preserve">Aktualisiert am </t>
  </si>
  <si>
    <t>Kosten für eine neue Wärmepumpe</t>
  </si>
  <si>
    <t>Jahresarbeitszahl (COP Wert)</t>
  </si>
  <si>
    <t xml:space="preserve">Variable Kosten Jahr </t>
  </si>
  <si>
    <t>Strompreis geschätzt die nächsten 10 Jahre</t>
  </si>
  <si>
    <t>Wärmepumpe</t>
  </si>
  <si>
    <r>
      <t xml:space="preserve">Übersicht Öl = Was passiert mit den </t>
    </r>
    <r>
      <rPr>
        <u/>
        <sz val="10"/>
        <rFont val="Arial"/>
        <family val="2"/>
      </rPr>
      <t>Einsparungen pro Jahr</t>
    </r>
    <r>
      <rPr>
        <sz val="10"/>
        <rFont val="Arial"/>
        <family val="2"/>
      </rPr>
      <t xml:space="preserve"> in Abhängigkeit vom Ölpreis</t>
    </r>
  </si>
  <si>
    <r>
      <t xml:space="preserve">Übersicht Gas = Was passiert mit den </t>
    </r>
    <r>
      <rPr>
        <u/>
        <sz val="10"/>
        <rFont val="Arial"/>
        <family val="2"/>
      </rPr>
      <t>Einsparungen pro Jahr</t>
    </r>
    <r>
      <rPr>
        <sz val="10"/>
        <rFont val="Arial"/>
        <family val="2"/>
      </rPr>
      <t xml:space="preserve"> in Abhängigkeit vom Gaspreis</t>
    </r>
  </si>
  <si>
    <r>
      <t xml:space="preserve">Übersicht Strom Wärmepumpe = Was passiert mit den </t>
    </r>
    <r>
      <rPr>
        <u/>
        <sz val="10"/>
        <rFont val="Arial"/>
        <family val="2"/>
      </rPr>
      <t>Einsparungen pro Jahr</t>
    </r>
    <r>
      <rPr>
        <sz val="10"/>
        <rFont val="Arial"/>
        <family val="2"/>
      </rPr>
      <t xml:space="preserve"> in Abhängigkeit vom Strompreis</t>
    </r>
  </si>
  <si>
    <t>Einsparung gegenüber Wärmepumpe</t>
  </si>
  <si>
    <t>Kosten abz. Förderung</t>
  </si>
  <si>
    <t>Förderung in%</t>
  </si>
  <si>
    <t>Liter</t>
  </si>
  <si>
    <t>Flüssiggasheizung</t>
  </si>
  <si>
    <t xml:space="preserve">Gasverbrauch </t>
  </si>
  <si>
    <t>Cent/Liter</t>
  </si>
  <si>
    <t>Liter Gas eingeben</t>
  </si>
  <si>
    <t>oder Liter Öl eigeben</t>
  </si>
  <si>
    <t>kg</t>
  </si>
  <si>
    <t>€/to</t>
  </si>
  <si>
    <t>Pelletsverbrauch in Tonnen</t>
  </si>
  <si>
    <t>Durchschnitt der nächsten 10 Jahre</t>
  </si>
  <si>
    <r>
      <t xml:space="preserve">Flüssiggasheizung </t>
    </r>
    <r>
      <rPr>
        <b/>
        <u/>
        <sz val="14"/>
        <color rgb="FFFF0000"/>
        <rFont val="Arial"/>
        <family val="2"/>
      </rPr>
      <t>Bestand</t>
    </r>
  </si>
  <si>
    <r>
      <t xml:space="preserve">Ölheizung </t>
    </r>
    <r>
      <rPr>
        <b/>
        <u/>
        <sz val="14"/>
        <color rgb="FFFF0000"/>
        <rFont val="Arial"/>
        <family val="2"/>
      </rPr>
      <t>Bestand</t>
    </r>
  </si>
  <si>
    <r>
      <rPr>
        <b/>
        <u/>
        <sz val="14"/>
        <color rgb="FFFF0000"/>
        <rFont val="Arial"/>
        <family val="2"/>
      </rPr>
      <t>Umstellung</t>
    </r>
    <r>
      <rPr>
        <b/>
        <u/>
        <sz val="14"/>
        <rFont val="Arial"/>
        <family val="2"/>
      </rPr>
      <t xml:space="preserve"> auf Wärmepumpe (Luft/Wasser)</t>
    </r>
  </si>
  <si>
    <t>Einsparung gegenüber Pelletheizung</t>
  </si>
  <si>
    <t>Pelletheizung</t>
  </si>
  <si>
    <r>
      <rPr>
        <b/>
        <u/>
        <sz val="14"/>
        <color rgb="FFFF0000"/>
        <rFont val="Arial"/>
        <family val="2"/>
      </rPr>
      <t>Umstellung</t>
    </r>
    <r>
      <rPr>
        <b/>
        <u/>
        <sz val="14"/>
        <rFont val="Arial"/>
        <family val="2"/>
      </rPr>
      <t xml:space="preserve"> auf Pellettheizung </t>
    </r>
  </si>
  <si>
    <t>Kosten für eine neue Pelletheizung</t>
  </si>
  <si>
    <t>plus Heizkosten Pellet pro kw/h</t>
  </si>
  <si>
    <t>Variable Kosten Jahr Pellet</t>
  </si>
  <si>
    <t>Pelletkosten insg. pro Jahr</t>
  </si>
  <si>
    <t>Vertragslaufzeit 10 Jahre  - Alle Preise netto</t>
  </si>
  <si>
    <t>Wartung und Reperatur, Strom</t>
  </si>
  <si>
    <t>Fernwärmerechner Wärmenetz Hofkirchen</t>
  </si>
  <si>
    <r>
      <rPr>
        <b/>
        <u/>
        <sz val="14"/>
        <color rgb="FFFF0000"/>
        <rFont val="Arial"/>
        <family val="2"/>
      </rPr>
      <t>Umstellung</t>
    </r>
    <r>
      <rPr>
        <b/>
        <u/>
        <sz val="14"/>
        <rFont val="Arial"/>
        <family val="2"/>
      </rPr>
      <t xml:space="preserve"> auf Fernwärme Hofkirchen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</si>
</sst>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€&quot;* #,##0.00_);_(&quot;€&quot;* \(#,##0.00\);_(&quot;€&quot;* &quot;-&quot;??_);_(@_)"/>
    <numFmt numFmtId="165" formatCode="_-* #,##0.00\ _€_-;\-* #,##0.00\ _€_-;_-* &quot;-&quot;??\ _€_-;_-@_-"/>
    <numFmt numFmtId="166" formatCode="_-* #,##0\ _€_-;\-* #,##0\ _€_-;_-* &quot;-&quot;??\ _€_-;_-@_-"/>
    <numFmt numFmtId="167" formatCode="0.0\ &quot;Cent/kwh&quot;"/>
    <numFmt numFmtId="168" formatCode="_-* #,##0\ &quot;€&quot;_-;\-* #,##0\ &quot;€&quot;_-;_-* &quot;-&quot;??\ &quot;€&quot;_-;_-@_-"/>
    <numFmt numFmtId="169" formatCode="#,##0\ &quot;Liter/Jahr&quot;"/>
    <numFmt numFmtId="170" formatCode="0.00\ &quot;€/liter Öl&quot;"/>
    <numFmt numFmtId="171" formatCode="#,##0\ &quot;kwh/Jahr&quot;"/>
    <numFmt numFmtId="172" formatCode="#,##0.0"/>
    <numFmt numFmtId="173" formatCode="0\ &quot;Cent/kWh Strom&quot;"/>
    <numFmt numFmtId="174" formatCode="#,##0\ &quot;Cent/l Gas&quot;"/>
    <numFmt numFmtId="175" formatCode="#,##0.000"/>
  </numFmts>
  <fonts count="27" x14ac:knownFonts="1">
    <font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0" tint="-0.14999847407452621"/>
      <name val="Arial"/>
      <family val="2"/>
    </font>
    <font>
      <b/>
      <u/>
      <sz val="1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6"/>
      <name val="Arial"/>
      <family val="2"/>
    </font>
    <font>
      <u/>
      <sz val="16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sz val="16"/>
      <name val="Arial"/>
      <family val="2"/>
    </font>
    <font>
      <sz val="9"/>
      <color indexed="81"/>
      <name val="Segoe UI"/>
      <family val="2"/>
    </font>
    <font>
      <sz val="10"/>
      <color theme="1"/>
      <name val="Arial"/>
      <family val="2"/>
    </font>
    <font>
      <u/>
      <sz val="14"/>
      <color theme="1"/>
      <name val="Arial"/>
      <family val="2"/>
    </font>
    <font>
      <sz val="10"/>
      <color theme="0"/>
      <name val="Arial"/>
      <family val="2"/>
    </font>
    <font>
      <u/>
      <sz val="14"/>
      <color theme="0"/>
      <name val="Arial"/>
      <family val="2"/>
    </font>
    <font>
      <b/>
      <u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medium">
        <color indexed="64"/>
      </bottom>
      <diagonal/>
    </border>
    <border>
      <left/>
      <right/>
      <top style="medium">
        <color rgb="FF92D050"/>
      </top>
      <bottom style="medium">
        <color indexed="64"/>
      </bottom>
      <diagonal/>
    </border>
    <border>
      <left/>
      <right style="medium">
        <color rgb="FF92D050"/>
      </right>
      <top style="medium">
        <color rgb="FF92D050"/>
      </top>
      <bottom style="medium">
        <color indexed="64"/>
      </bottom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 style="medium">
        <color indexed="64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indexed="64"/>
      </right>
      <top/>
      <bottom style="medium">
        <color rgb="FF92D050"/>
      </bottom>
      <diagonal/>
    </border>
    <border>
      <left style="medium">
        <color indexed="64"/>
      </left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92D050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medium">
        <color rgb="FF92D05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92D050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medium">
        <color rgb="FF92D05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 applyAlignment="1">
      <alignment horizontal="center" wrapText="1"/>
    </xf>
    <xf numFmtId="0" fontId="0" fillId="2" borderId="1" xfId="0" applyFill="1" applyBorder="1"/>
    <xf numFmtId="0" fontId="3" fillId="3" borderId="1" xfId="0" applyFont="1" applyFill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Alignment="1">
      <alignment horizontal="center"/>
    </xf>
    <xf numFmtId="0" fontId="4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6" xfId="0" applyFont="1" applyBorder="1"/>
    <xf numFmtId="3" fontId="0" fillId="3" borderId="7" xfId="0" applyNumberFormat="1" applyFill="1" applyBorder="1"/>
    <xf numFmtId="0" fontId="0" fillId="0" borderId="9" xfId="0" applyBorder="1"/>
    <xf numFmtId="0" fontId="0" fillId="0" borderId="10" xfId="0" applyBorder="1"/>
    <xf numFmtId="4" fontId="0" fillId="2" borderId="0" xfId="0" applyNumberFormat="1" applyFill="1"/>
    <xf numFmtId="3" fontId="0" fillId="3" borderId="0" xfId="0" applyNumberFormat="1" applyFill="1"/>
    <xf numFmtId="0" fontId="5" fillId="0" borderId="10" xfId="0" applyFont="1" applyBorder="1"/>
    <xf numFmtId="3" fontId="5" fillId="3" borderId="0" xfId="0" applyNumberFormat="1" applyFont="1" applyFill="1"/>
    <xf numFmtId="0" fontId="5" fillId="0" borderId="9" xfId="0" applyFont="1" applyBorder="1"/>
    <xf numFmtId="1" fontId="0" fillId="3" borderId="0" xfId="0" applyNumberFormat="1" applyFill="1"/>
    <xf numFmtId="0" fontId="1" fillId="0" borderId="10" xfId="0" applyFont="1" applyBorder="1"/>
    <xf numFmtId="0" fontId="5" fillId="0" borderId="11" xfId="0" applyFont="1" applyBorder="1"/>
    <xf numFmtId="0" fontId="0" fillId="0" borderId="6" xfId="0" applyBorder="1"/>
    <xf numFmtId="0" fontId="0" fillId="3" borderId="0" xfId="0" applyFill="1"/>
    <xf numFmtId="0" fontId="6" fillId="0" borderId="9" xfId="0" applyFont="1" applyBorder="1"/>
    <xf numFmtId="2" fontId="0" fillId="3" borderId="0" xfId="0" applyNumberFormat="1" applyFill="1"/>
    <xf numFmtId="0" fontId="0" fillId="0" borderId="11" xfId="0" applyBorder="1"/>
    <xf numFmtId="0" fontId="0" fillId="0" borderId="12" xfId="0" applyBorder="1"/>
    <xf numFmtId="0" fontId="0" fillId="0" borderId="16" xfId="0" applyBorder="1"/>
    <xf numFmtId="167" fontId="0" fillId="0" borderId="17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6" xfId="0" applyFont="1" applyBorder="1"/>
    <xf numFmtId="0" fontId="0" fillId="0" borderId="0" xfId="0" applyAlignment="1">
      <alignment horizontal="center" wrapText="1"/>
    </xf>
    <xf numFmtId="0" fontId="4" fillId="0" borderId="0" xfId="0" applyFont="1"/>
    <xf numFmtId="168" fontId="0" fillId="0" borderId="17" xfId="2" applyNumberFormat="1" applyFont="1" applyBorder="1"/>
    <xf numFmtId="0" fontId="5" fillId="0" borderId="0" xfId="0" applyFont="1"/>
    <xf numFmtId="0" fontId="7" fillId="0" borderId="0" xfId="0" applyFont="1"/>
    <xf numFmtId="0" fontId="0" fillId="0" borderId="13" xfId="0" applyBorder="1"/>
    <xf numFmtId="0" fontId="12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66" fontId="1" fillId="2" borderId="4" xfId="1" applyNumberFormat="1" applyFont="1" applyFill="1" applyBorder="1" applyAlignment="1">
      <alignment horizontal="center"/>
    </xf>
    <xf numFmtId="3" fontId="13" fillId="3" borderId="0" xfId="0" applyNumberFormat="1" applyFont="1" applyFill="1"/>
    <xf numFmtId="165" fontId="1" fillId="2" borderId="4" xfId="1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168" fontId="5" fillId="0" borderId="4" xfId="2" applyNumberFormat="1" applyFont="1" applyBorder="1"/>
    <xf numFmtId="170" fontId="5" fillId="3" borderId="4" xfId="0" applyNumberFormat="1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wrapText="1"/>
    </xf>
    <xf numFmtId="2" fontId="5" fillId="4" borderId="12" xfId="0" applyNumberFormat="1" applyFont="1" applyFill="1" applyBorder="1"/>
    <xf numFmtId="2" fontId="6" fillId="4" borderId="0" xfId="0" applyNumberFormat="1" applyFont="1" applyFill="1"/>
    <xf numFmtId="0" fontId="16" fillId="0" borderId="0" xfId="0" applyFont="1" applyAlignment="1">
      <alignment wrapText="1"/>
    </xf>
    <xf numFmtId="166" fontId="5" fillId="3" borderId="0" xfId="1" applyNumberFormat="1" applyFont="1" applyFill="1" applyBorder="1"/>
    <xf numFmtId="0" fontId="1" fillId="0" borderId="9" xfId="0" applyFont="1" applyBorder="1"/>
    <xf numFmtId="164" fontId="0" fillId="0" borderId="9" xfId="2" applyFont="1" applyBorder="1"/>
    <xf numFmtId="0" fontId="5" fillId="0" borderId="13" xfId="0" applyFont="1" applyBorder="1"/>
    <xf numFmtId="3" fontId="1" fillId="2" borderId="7" xfId="0" applyNumberFormat="1" applyFont="1" applyFill="1" applyBorder="1"/>
    <xf numFmtId="0" fontId="17" fillId="0" borderId="0" xfId="0" applyFont="1" applyAlignment="1">
      <alignment wrapText="1"/>
    </xf>
    <xf numFmtId="0" fontId="0" fillId="3" borderId="0" xfId="0" applyFill="1" applyAlignment="1">
      <alignment horizontal="right"/>
    </xf>
    <xf numFmtId="171" fontId="5" fillId="3" borderId="4" xfId="0" applyNumberFormat="1" applyFont="1" applyFill="1" applyBorder="1"/>
    <xf numFmtId="169" fontId="5" fillId="3" borderId="4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/>
    <xf numFmtId="169" fontId="5" fillId="0" borderId="0" xfId="0" applyNumberFormat="1" applyFont="1"/>
    <xf numFmtId="168" fontId="5" fillId="0" borderId="0" xfId="2" applyNumberFormat="1" applyFont="1" applyFill="1" applyBorder="1"/>
    <xf numFmtId="171" fontId="5" fillId="0" borderId="0" xfId="0" applyNumberFormat="1" applyFont="1"/>
    <xf numFmtId="168" fontId="18" fillId="0" borderId="4" xfId="0" applyNumberFormat="1" applyFont="1" applyBorder="1"/>
    <xf numFmtId="168" fontId="18" fillId="0" borderId="4" xfId="0" applyNumberFormat="1" applyFont="1" applyBorder="1" applyAlignment="1">
      <alignment horizontal="center"/>
    </xf>
    <xf numFmtId="14" fontId="0" fillId="0" borderId="0" xfId="0" applyNumberFormat="1" applyAlignment="1">
      <alignment horizontal="center" wrapText="1"/>
    </xf>
    <xf numFmtId="3" fontId="0" fillId="0" borderId="0" xfId="0" applyNumberFormat="1"/>
    <xf numFmtId="2" fontId="5" fillId="5" borderId="0" xfId="0" applyNumberFormat="1" applyFont="1" applyFill="1"/>
    <xf numFmtId="172" fontId="0" fillId="2" borderId="0" xfId="0" applyNumberFormat="1" applyFill="1"/>
    <xf numFmtId="1" fontId="0" fillId="0" borderId="0" xfId="0" applyNumberFormat="1"/>
    <xf numFmtId="0" fontId="5" fillId="0" borderId="12" xfId="0" applyFont="1" applyBorder="1"/>
    <xf numFmtId="2" fontId="6" fillId="4" borderId="12" xfId="0" applyNumberFormat="1" applyFont="1" applyFill="1" applyBorder="1"/>
    <xf numFmtId="168" fontId="4" fillId="0" borderId="0" xfId="2" applyNumberFormat="1" applyFont="1" applyBorder="1"/>
    <xf numFmtId="0" fontId="4" fillId="0" borderId="16" xfId="0" applyFont="1" applyBorder="1" applyAlignment="1">
      <alignment horizontal="center" wrapText="1"/>
    </xf>
    <xf numFmtId="173" fontId="5" fillId="3" borderId="4" xfId="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20" fillId="0" borderId="0" xfId="0" applyFont="1"/>
    <xf numFmtId="166" fontId="1" fillId="3" borderId="0" xfId="1" applyNumberFormat="1" applyFont="1" applyFill="1" applyBorder="1" applyAlignment="1">
      <alignment horizontal="center"/>
    </xf>
    <xf numFmtId="166" fontId="1" fillId="3" borderId="0" xfId="1" applyNumberFormat="1" applyFont="1" applyFill="1" applyBorder="1"/>
    <xf numFmtId="166" fontId="1" fillId="2" borderId="0" xfId="1" applyNumberFormat="1" applyFont="1" applyFill="1" applyBorder="1"/>
    <xf numFmtId="0" fontId="0" fillId="2" borderId="0" xfId="0" applyFill="1" applyAlignment="1">
      <alignment horizontal="center"/>
    </xf>
    <xf numFmtId="0" fontId="23" fillId="0" borderId="0" xfId="0" applyFont="1" applyAlignment="1">
      <alignment horizontal="center" wrapText="1"/>
    </xf>
    <xf numFmtId="0" fontId="22" fillId="0" borderId="0" xfId="0" applyFont="1"/>
    <xf numFmtId="174" fontId="5" fillId="3" borderId="4" xfId="0" applyNumberFormat="1" applyFont="1" applyFill="1" applyBorder="1" applyAlignment="1">
      <alignment horizontal="center"/>
    </xf>
    <xf numFmtId="4" fontId="0" fillId="3" borderId="0" xfId="0" applyNumberFormat="1" applyFill="1"/>
    <xf numFmtId="4" fontId="0" fillId="0" borderId="0" xfId="0" applyNumberForma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2" applyFont="1"/>
    <xf numFmtId="3" fontId="24" fillId="0" borderId="0" xfId="0" applyNumberFormat="1" applyFont="1"/>
    <xf numFmtId="166" fontId="24" fillId="0" borderId="0" xfId="1" applyNumberFormat="1" applyFont="1"/>
    <xf numFmtId="175" fontId="0" fillId="3" borderId="7" xfId="0" applyNumberFormat="1" applyFill="1" applyBorder="1"/>
    <xf numFmtId="168" fontId="0" fillId="0" borderId="22" xfId="2" applyNumberFormat="1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27" xfId="0" applyFont="1" applyBorder="1"/>
    <xf numFmtId="0" fontId="5" fillId="0" borderId="27" xfId="0" applyFont="1" applyBorder="1"/>
    <xf numFmtId="0" fontId="6" fillId="0" borderId="28" xfId="0" applyFont="1" applyBorder="1"/>
    <xf numFmtId="0" fontId="5" fillId="0" borderId="28" xfId="0" applyFont="1" applyBorder="1"/>
    <xf numFmtId="0" fontId="5" fillId="0" borderId="31" xfId="0" applyFont="1" applyBorder="1"/>
    <xf numFmtId="2" fontId="5" fillId="4" borderId="32" xfId="0" applyNumberFormat="1" applyFont="1" applyFill="1" applyBorder="1"/>
    <xf numFmtId="0" fontId="5" fillId="0" borderId="33" xfId="0" applyFont="1" applyBorder="1"/>
    <xf numFmtId="0" fontId="0" fillId="0" borderId="34" xfId="0" applyBorder="1"/>
    <xf numFmtId="0" fontId="0" fillId="0" borderId="32" xfId="0" applyBorder="1"/>
    <xf numFmtId="0" fontId="0" fillId="0" borderId="35" xfId="0" applyBorder="1"/>
    <xf numFmtId="2" fontId="6" fillId="4" borderId="23" xfId="0" applyNumberFormat="1" applyFont="1" applyFill="1" applyBorder="1"/>
    <xf numFmtId="0" fontId="0" fillId="0" borderId="36" xfId="0" applyBorder="1"/>
    <xf numFmtId="167" fontId="0" fillId="0" borderId="22" xfId="0" applyNumberFormat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167" fontId="0" fillId="0" borderId="23" xfId="0" applyNumberFormat="1" applyBorder="1" applyAlignment="1">
      <alignment horizontal="center"/>
    </xf>
    <xf numFmtId="0" fontId="4" fillId="0" borderId="37" xfId="0" applyFont="1" applyBorder="1"/>
    <xf numFmtId="168" fontId="4" fillId="0" borderId="23" xfId="2" applyNumberFormat="1" applyFont="1" applyBorder="1"/>
    <xf numFmtId="168" fontId="6" fillId="4" borderId="20" xfId="2" applyNumberFormat="1" applyFont="1" applyFill="1" applyBorder="1"/>
    <xf numFmtId="0" fontId="4" fillId="0" borderId="38" xfId="0" applyFont="1" applyBorder="1"/>
    <xf numFmtId="0" fontId="11" fillId="0" borderId="39" xfId="0" applyFont="1" applyBorder="1" applyAlignment="1">
      <alignment horizontal="center" vertical="center" wrapText="1"/>
    </xf>
    <xf numFmtId="0" fontId="6" fillId="4" borderId="40" xfId="0" applyFont="1" applyFill="1" applyBorder="1"/>
    <xf numFmtId="168" fontId="6" fillId="4" borderId="41" xfId="2" applyNumberFormat="1" applyFont="1" applyFill="1" applyBorder="1"/>
    <xf numFmtId="168" fontId="6" fillId="4" borderId="42" xfId="2" applyNumberFormat="1" applyFont="1" applyFill="1" applyBorder="1"/>
    <xf numFmtId="0" fontId="6" fillId="4" borderId="43" xfId="0" applyFont="1" applyFill="1" applyBorder="1"/>
    <xf numFmtId="168" fontId="6" fillId="4" borderId="44" xfId="2" applyNumberFormat="1" applyFont="1" applyFill="1" applyBorder="1"/>
    <xf numFmtId="0" fontId="6" fillId="4" borderId="45" xfId="0" applyFont="1" applyFill="1" applyBorder="1"/>
    <xf numFmtId="168" fontId="6" fillId="4" borderId="46" xfId="2" applyNumberFormat="1" applyFont="1" applyFill="1" applyBorder="1"/>
    <xf numFmtId="168" fontId="6" fillId="4" borderId="47" xfId="2" applyNumberFormat="1" applyFont="1" applyFill="1" applyBorder="1"/>
    <xf numFmtId="0" fontId="5" fillId="5" borderId="27" xfId="0" applyFont="1" applyFill="1" applyBorder="1"/>
    <xf numFmtId="0" fontId="0" fillId="0" borderId="4" xfId="0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X140"/>
  <sheetViews>
    <sheetView tabSelected="1" topLeftCell="B1" zoomScaleNormal="100" zoomScaleSheetLayoutView="130" workbookViewId="0">
      <selection activeCell="F6" sqref="F6"/>
    </sheetView>
  </sheetViews>
  <sheetFormatPr baseColWidth="10" defaultRowHeight="12.3" x14ac:dyDescent="0.4"/>
  <cols>
    <col min="1" max="1" width="3.5546875" customWidth="1"/>
    <col min="2" max="2" width="43.44140625" bestFit="1" customWidth="1"/>
    <col min="3" max="3" width="21.1640625" customWidth="1"/>
    <col min="4" max="4" width="16" customWidth="1"/>
    <col min="5" max="5" width="16.27734375" customWidth="1"/>
    <col min="6" max="6" width="33" customWidth="1"/>
    <col min="7" max="7" width="20" customWidth="1"/>
    <col min="12" max="12" width="18.27734375" bestFit="1" customWidth="1"/>
    <col min="13" max="13" width="15.71875" bestFit="1" customWidth="1"/>
    <col min="17" max="17" width="10.83203125" customWidth="1"/>
    <col min="18" max="18" width="20.44140625" bestFit="1" customWidth="1"/>
    <col min="19" max="19" width="13.83203125" customWidth="1"/>
  </cols>
  <sheetData>
    <row r="1" spans="1:24" ht="12.6" thickBot="1" x14ac:dyDescent="0.45"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4" ht="21" customHeight="1" thickBot="1" x14ac:dyDescent="0.75">
      <c r="A2" s="50"/>
      <c r="B2" s="143" t="s">
        <v>110</v>
      </c>
      <c r="C2" s="144"/>
      <c r="D2" s="144"/>
      <c r="E2" s="144"/>
      <c r="F2" s="144"/>
      <c r="G2" s="144"/>
      <c r="H2" s="145"/>
      <c r="I2" s="56"/>
      <c r="J2" s="1"/>
      <c r="K2" s="89"/>
      <c r="L2" s="89"/>
      <c r="M2" s="89"/>
      <c r="N2" s="89"/>
      <c r="O2" s="89"/>
      <c r="P2" s="88"/>
      <c r="Q2" s="88" t="s">
        <v>0</v>
      </c>
      <c r="R2" s="88"/>
      <c r="S2" s="88"/>
      <c r="T2" s="88"/>
      <c r="U2" s="88"/>
      <c r="V2" s="88"/>
      <c r="W2" s="37"/>
      <c r="X2" s="37"/>
    </row>
    <row r="3" spans="1:24" ht="17.399999999999999" x14ac:dyDescent="0.55000000000000004">
      <c r="B3" s="146" t="s">
        <v>108</v>
      </c>
      <c r="C3" s="146"/>
      <c r="D3" s="146"/>
      <c r="E3" s="146"/>
      <c r="F3" s="146"/>
      <c r="G3" s="146"/>
      <c r="H3" s="146"/>
      <c r="I3" s="83"/>
      <c r="J3" s="83"/>
      <c r="K3" s="89"/>
      <c r="L3" s="89"/>
      <c r="M3" s="89"/>
      <c r="N3" s="89"/>
      <c r="O3" s="89"/>
      <c r="P3" s="88"/>
      <c r="Q3" s="88">
        <v>0</v>
      </c>
      <c r="R3" s="90" t="s">
        <v>1</v>
      </c>
      <c r="S3" s="90" t="s">
        <v>2</v>
      </c>
      <c r="T3" s="88"/>
      <c r="U3" s="88"/>
      <c r="V3" s="88"/>
      <c r="W3" s="37"/>
      <c r="X3" s="37"/>
    </row>
    <row r="4" spans="1:24" ht="17.7" thickBot="1" x14ac:dyDescent="0.6">
      <c r="B4" s="1"/>
      <c r="C4" s="1"/>
      <c r="D4" s="1"/>
      <c r="E4" s="1"/>
      <c r="F4" s="31" t="s">
        <v>76</v>
      </c>
      <c r="G4" s="67">
        <v>46225</v>
      </c>
      <c r="H4" s="1"/>
      <c r="I4" s="83"/>
      <c r="J4" s="83"/>
      <c r="K4" s="89"/>
      <c r="L4" s="89"/>
      <c r="M4" s="89"/>
      <c r="N4" s="89"/>
      <c r="O4" s="89"/>
      <c r="P4" s="88"/>
      <c r="Q4" s="88"/>
      <c r="R4" s="90"/>
      <c r="S4" s="90"/>
      <c r="T4" s="88"/>
      <c r="U4" s="88"/>
      <c r="V4" s="88"/>
      <c r="W4" s="37"/>
      <c r="X4" s="37"/>
    </row>
    <row r="5" spans="1:24" ht="17.7" thickBot="1" x14ac:dyDescent="0.6">
      <c r="B5" s="2"/>
      <c r="C5" s="147" t="s">
        <v>3</v>
      </c>
      <c r="D5" s="148"/>
      <c r="E5" s="1"/>
      <c r="F5" s="1"/>
      <c r="H5" s="1"/>
      <c r="I5" s="83"/>
      <c r="J5" s="83"/>
      <c r="K5" s="89"/>
      <c r="L5" s="89"/>
      <c r="M5" s="89"/>
      <c r="N5" s="89"/>
      <c r="O5" s="89"/>
      <c r="P5" s="88"/>
      <c r="Q5" s="90">
        <v>100</v>
      </c>
      <c r="R5" s="88">
        <v>1500</v>
      </c>
      <c r="S5" s="88">
        <v>15000</v>
      </c>
      <c r="T5" s="88"/>
      <c r="U5" s="88"/>
      <c r="V5" s="88"/>
      <c r="W5" s="37"/>
      <c r="X5" s="37"/>
    </row>
    <row r="6" spans="1:24" ht="17.7" thickBot="1" x14ac:dyDescent="0.6">
      <c r="B6" s="3"/>
      <c r="C6" s="149" t="s">
        <v>4</v>
      </c>
      <c r="D6" s="150"/>
      <c r="E6" s="1"/>
      <c r="F6" s="1"/>
      <c r="G6" s="1"/>
      <c r="H6" s="1"/>
      <c r="I6" s="83"/>
      <c r="J6" s="83"/>
      <c r="K6" s="89"/>
      <c r="L6" s="89"/>
      <c r="M6" s="89"/>
      <c r="N6" s="89"/>
      <c r="O6" s="89"/>
      <c r="P6" s="88"/>
      <c r="Q6" s="90">
        <v>150</v>
      </c>
      <c r="R6" s="88">
        <v>2500</v>
      </c>
      <c r="S6" s="88">
        <v>25000</v>
      </c>
      <c r="T6" s="88"/>
      <c r="U6" s="88"/>
      <c r="V6" s="88"/>
      <c r="W6" s="37"/>
      <c r="X6" s="37"/>
    </row>
    <row r="7" spans="1:24" ht="17.7" thickBot="1" x14ac:dyDescent="0.6">
      <c r="B7" s="47"/>
      <c r="C7" s="149" t="s">
        <v>44</v>
      </c>
      <c r="D7" s="150"/>
      <c r="E7" s="1"/>
      <c r="F7" s="1"/>
      <c r="G7" s="1"/>
      <c r="H7" s="1"/>
      <c r="I7" s="83"/>
      <c r="J7" s="83"/>
      <c r="K7" s="89"/>
      <c r="L7" s="89"/>
      <c r="M7" s="88" t="s">
        <v>7</v>
      </c>
      <c r="N7" s="89"/>
      <c r="O7" s="89"/>
      <c r="P7" s="88"/>
      <c r="Q7" s="90">
        <v>250</v>
      </c>
      <c r="R7" s="88">
        <v>3500</v>
      </c>
      <c r="S7" s="88">
        <v>35000</v>
      </c>
      <c r="T7" s="88"/>
      <c r="U7" s="88"/>
      <c r="V7" s="88"/>
      <c r="W7" s="37"/>
      <c r="X7" s="37"/>
    </row>
    <row r="8" spans="1:24" ht="10.5" customHeight="1" x14ac:dyDescent="0.4">
      <c r="I8" s="84"/>
      <c r="J8" s="84"/>
      <c r="K8" s="88"/>
      <c r="L8" s="88"/>
      <c r="M8" s="88" t="s">
        <v>89</v>
      </c>
      <c r="N8" s="88"/>
      <c r="O8" s="88"/>
      <c r="P8" s="88"/>
      <c r="Q8" s="88"/>
      <c r="R8" s="88"/>
      <c r="S8" s="88"/>
      <c r="T8" s="88"/>
      <c r="U8" s="88"/>
      <c r="V8" s="88"/>
      <c r="W8" s="37"/>
      <c r="X8" s="37" t="s">
        <v>5</v>
      </c>
    </row>
    <row r="9" spans="1:24" hidden="1" x14ac:dyDescent="0.4">
      <c r="B9" s="4"/>
      <c r="C9" s="42"/>
      <c r="D9" s="43"/>
      <c r="E9" s="43"/>
      <c r="F9" s="44"/>
      <c r="I9" s="84"/>
      <c r="J9" s="84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37"/>
      <c r="X9" s="37" t="s">
        <v>6</v>
      </c>
    </row>
    <row r="10" spans="1:24" x14ac:dyDescent="0.4">
      <c r="B10" s="4" t="s">
        <v>45</v>
      </c>
      <c r="C10" s="42" t="s">
        <v>7</v>
      </c>
      <c r="D10" s="43"/>
      <c r="E10" s="43"/>
      <c r="F10" s="44"/>
      <c r="I10" s="84"/>
      <c r="J10" s="84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37"/>
      <c r="X10" s="37"/>
    </row>
    <row r="11" spans="1:24" x14ac:dyDescent="0.4">
      <c r="B11" s="4" t="str">
        <f>IF(C10="Ölheizung","","verbrauchte Liter Gas/Jahr")</f>
        <v/>
      </c>
      <c r="C11" s="40"/>
      <c r="D11" s="43" t="s">
        <v>92</v>
      </c>
      <c r="E11" s="43"/>
      <c r="F11" s="43"/>
      <c r="I11" s="84"/>
      <c r="J11" s="84"/>
      <c r="K11" s="88"/>
      <c r="L11" s="88"/>
      <c r="M11" s="88"/>
      <c r="N11" s="88"/>
      <c r="O11" s="88"/>
      <c r="P11" s="88"/>
      <c r="Q11" s="88" t="s">
        <v>5</v>
      </c>
      <c r="R11" s="88"/>
      <c r="S11" s="88"/>
      <c r="T11" s="88"/>
      <c r="U11" s="88"/>
      <c r="V11" s="88"/>
      <c r="W11" s="37"/>
      <c r="X11" s="37"/>
    </row>
    <row r="12" spans="1:24" x14ac:dyDescent="0.4">
      <c r="B12" s="4" t="str">
        <f>IF(C10="Flüssiggasheizung","","verbrauchte Liter Öl/Jahr")</f>
        <v>verbrauchte Liter Öl/Jahr</v>
      </c>
      <c r="C12" s="40">
        <v>2500</v>
      </c>
      <c r="D12" s="43" t="s">
        <v>93</v>
      </c>
      <c r="E12" s="43"/>
      <c r="F12" s="43"/>
      <c r="I12" s="84"/>
      <c r="J12" s="84"/>
      <c r="K12" s="88"/>
      <c r="L12" s="88"/>
      <c r="M12" s="88"/>
      <c r="N12" s="88"/>
      <c r="O12" s="88"/>
      <c r="P12" s="88"/>
      <c r="Q12" s="88" t="s">
        <v>6</v>
      </c>
      <c r="R12" s="88"/>
      <c r="S12" s="88"/>
      <c r="T12" s="88"/>
      <c r="U12" s="88"/>
      <c r="V12" s="88"/>
      <c r="W12" s="37"/>
      <c r="X12" s="37"/>
    </row>
    <row r="13" spans="1:24" x14ac:dyDescent="0.4">
      <c r="B13" s="4" t="s">
        <v>47</v>
      </c>
      <c r="C13" s="5" t="s">
        <v>6</v>
      </c>
      <c r="I13" s="84"/>
      <c r="J13" s="84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37"/>
      <c r="X13" s="37"/>
    </row>
    <row r="14" spans="1:24" x14ac:dyDescent="0.4">
      <c r="I14" s="84"/>
      <c r="J14" s="84"/>
      <c r="K14" s="88"/>
      <c r="L14" s="88"/>
      <c r="M14" s="88"/>
      <c r="N14" s="88"/>
      <c r="O14" s="88"/>
      <c r="P14" s="88"/>
      <c r="Q14" s="130"/>
      <c r="R14" s="130"/>
      <c r="S14" s="130"/>
      <c r="T14" s="88"/>
      <c r="U14" s="88"/>
      <c r="V14" s="88"/>
      <c r="W14" s="37"/>
      <c r="X14" s="37"/>
    </row>
    <row r="15" spans="1:24" ht="12.6" thickBot="1" x14ac:dyDescent="0.45">
      <c r="I15" s="84"/>
      <c r="J15" s="84"/>
      <c r="K15" s="88"/>
      <c r="L15" s="88"/>
      <c r="M15" s="88"/>
      <c r="N15" s="88"/>
      <c r="O15" s="88"/>
      <c r="P15" s="88"/>
      <c r="Q15" s="88"/>
      <c r="R15" s="88"/>
      <c r="S15" s="91"/>
      <c r="T15" s="88"/>
      <c r="U15" s="88"/>
      <c r="V15" s="88"/>
      <c r="W15" s="37"/>
      <c r="X15" s="37"/>
    </row>
    <row r="16" spans="1:24" ht="18" thickBot="1" x14ac:dyDescent="0.65">
      <c r="B16" s="131" t="s">
        <v>99</v>
      </c>
      <c r="C16" s="132"/>
      <c r="D16" s="132"/>
      <c r="E16" s="132"/>
      <c r="F16" s="132"/>
      <c r="G16" s="132"/>
      <c r="H16" s="133"/>
      <c r="I16" s="84"/>
      <c r="J16" s="84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37"/>
      <c r="X16" s="37"/>
    </row>
    <row r="17" spans="1:24" ht="12.6" thickBot="1" x14ac:dyDescent="0.45">
      <c r="B17" s="6"/>
      <c r="C17" s="7"/>
      <c r="D17" s="7"/>
      <c r="I17" s="84"/>
      <c r="J17" s="84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37"/>
      <c r="X17" s="37"/>
    </row>
    <row r="18" spans="1:24" x14ac:dyDescent="0.4">
      <c r="B18" s="9" t="s">
        <v>8</v>
      </c>
      <c r="C18" s="10">
        <f>IF($C$10="Ölheizung",C12,0)</f>
        <v>2500</v>
      </c>
      <c r="D18" s="8" t="s">
        <v>56</v>
      </c>
      <c r="E18" s="21" t="s">
        <v>62</v>
      </c>
      <c r="F18" s="7"/>
      <c r="G18" s="55">
        <v>20000</v>
      </c>
      <c r="H18" s="8" t="s">
        <v>10</v>
      </c>
      <c r="I18" s="84"/>
      <c r="J18" s="84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37"/>
      <c r="X18" s="37"/>
    </row>
    <row r="19" spans="1:24" x14ac:dyDescent="0.4">
      <c r="B19" s="12" t="s">
        <v>40</v>
      </c>
      <c r="C19" s="13">
        <v>1.2</v>
      </c>
      <c r="D19" s="52" t="s">
        <v>9</v>
      </c>
      <c r="E19" s="12" t="s">
        <v>53</v>
      </c>
      <c r="G19" s="22">
        <v>4</v>
      </c>
      <c r="H19" s="11" t="s">
        <v>14</v>
      </c>
      <c r="I19" s="84"/>
      <c r="J19" s="84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37"/>
      <c r="X19" s="37"/>
    </row>
    <row r="20" spans="1:24" x14ac:dyDescent="0.4">
      <c r="B20" s="12" t="s">
        <v>55</v>
      </c>
      <c r="C20" s="14">
        <f>C18*C19</f>
        <v>3000</v>
      </c>
      <c r="D20" s="52" t="s">
        <v>21</v>
      </c>
      <c r="E20" s="12" t="s">
        <v>51</v>
      </c>
      <c r="G20" s="22">
        <v>20</v>
      </c>
      <c r="H20" s="11" t="s">
        <v>20</v>
      </c>
      <c r="I20" s="84"/>
      <c r="J20" s="84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37"/>
      <c r="X20" s="37"/>
    </row>
    <row r="21" spans="1:24" x14ac:dyDescent="0.4">
      <c r="B21" s="12" t="s">
        <v>109</v>
      </c>
      <c r="C21" s="14">
        <v>350</v>
      </c>
      <c r="D21" s="52" t="s">
        <v>21</v>
      </c>
      <c r="E21" s="12" t="s">
        <v>52</v>
      </c>
      <c r="G21" s="51">
        <f>(G18/G20)+(G18*G19/100/2)</f>
        <v>1400</v>
      </c>
      <c r="H21" s="11" t="s">
        <v>21</v>
      </c>
      <c r="I21" s="84"/>
      <c r="J21" s="84"/>
      <c r="K21" s="88"/>
      <c r="L21" s="88"/>
      <c r="M21" s="88"/>
      <c r="N21" s="88"/>
      <c r="O21" s="88"/>
      <c r="P21" s="88"/>
      <c r="Q21" s="88"/>
      <c r="R21" s="88"/>
      <c r="S21" s="91"/>
      <c r="T21" s="88"/>
      <c r="U21" s="88"/>
      <c r="V21" s="88"/>
      <c r="W21" s="37"/>
      <c r="X21" s="37"/>
    </row>
    <row r="22" spans="1:24" ht="14.1" x14ac:dyDescent="0.5">
      <c r="B22" s="12" t="s">
        <v>60</v>
      </c>
      <c r="C22" s="14">
        <v>70</v>
      </c>
      <c r="D22" s="52" t="s">
        <v>21</v>
      </c>
      <c r="E22" s="19" t="s">
        <v>22</v>
      </c>
      <c r="G22" s="41">
        <f>G21+C23</f>
        <v>4820</v>
      </c>
      <c r="H22" s="23" t="s">
        <v>21</v>
      </c>
      <c r="I22" s="84"/>
      <c r="J22" s="84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</row>
    <row r="23" spans="1:24" x14ac:dyDescent="0.4">
      <c r="B23" s="15" t="s">
        <v>16</v>
      </c>
      <c r="C23" s="16">
        <f>SUM(C20:C22)</f>
        <v>3420</v>
      </c>
      <c r="D23" s="52" t="s">
        <v>21</v>
      </c>
      <c r="E23" s="12" t="s">
        <v>63</v>
      </c>
      <c r="G23" s="24">
        <f>IF(C18=0,"",G21/C27*100)</f>
        <v>7.0000000000000009</v>
      </c>
      <c r="H23" s="11" t="s">
        <v>69</v>
      </c>
      <c r="I23" s="84"/>
      <c r="J23" s="84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</row>
    <row r="24" spans="1:24" x14ac:dyDescent="0.4">
      <c r="B24" s="12"/>
      <c r="D24" s="11"/>
      <c r="E24" s="12" t="s">
        <v>64</v>
      </c>
      <c r="G24" s="24">
        <f>C28</f>
        <v>17.100000000000001</v>
      </c>
      <c r="H24" s="11" t="s">
        <v>69</v>
      </c>
      <c r="I24" s="84"/>
      <c r="J24" s="84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1:24" ht="14.1" x14ac:dyDescent="0.5">
      <c r="B25" s="12" t="s">
        <v>61</v>
      </c>
      <c r="C25" s="14">
        <f>C18*10</f>
        <v>25000</v>
      </c>
      <c r="D25" s="11" t="s">
        <v>58</v>
      </c>
      <c r="E25" s="15" t="s">
        <v>23</v>
      </c>
      <c r="F25" s="34"/>
      <c r="G25" s="49">
        <f>IF(C18=0,"",G24+G23)</f>
        <v>24.1</v>
      </c>
      <c r="H25" s="17" t="s">
        <v>69</v>
      </c>
      <c r="I25" s="84"/>
      <c r="J25" s="84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</row>
    <row r="26" spans="1:24" x14ac:dyDescent="0.4">
      <c r="B26" s="12" t="s">
        <v>59</v>
      </c>
      <c r="C26" s="18">
        <f>IF(C13="ja",L29,L28)</f>
        <v>80</v>
      </c>
      <c r="D26" s="11" t="s">
        <v>14</v>
      </c>
      <c r="E26" s="12"/>
      <c r="H26" s="11"/>
      <c r="I26" s="84"/>
      <c r="J26" s="84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</row>
    <row r="27" spans="1:24" x14ac:dyDescent="0.4">
      <c r="B27" s="12" t="s">
        <v>50</v>
      </c>
      <c r="C27" s="14">
        <f>C25*C26/100</f>
        <v>20000</v>
      </c>
      <c r="D27" s="11" t="s">
        <v>58</v>
      </c>
      <c r="E27" s="12"/>
      <c r="H27" s="11"/>
      <c r="I27" s="84"/>
      <c r="J27" s="84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</row>
    <row r="28" spans="1:24" ht="12.6" thickBot="1" x14ac:dyDescent="0.45">
      <c r="B28" s="20" t="s">
        <v>17</v>
      </c>
      <c r="C28" s="48">
        <f>IF(C18=0,"",C23/C27*100)</f>
        <v>17.100000000000001</v>
      </c>
      <c r="D28" s="54" t="s">
        <v>24</v>
      </c>
      <c r="E28" s="25"/>
      <c r="F28" s="26"/>
      <c r="G28" s="26"/>
      <c r="H28" s="36"/>
      <c r="I28" s="84"/>
      <c r="J28" s="84"/>
      <c r="K28" s="88"/>
      <c r="L28" s="88">
        <v>80</v>
      </c>
      <c r="M28" s="88" t="s">
        <v>67</v>
      </c>
      <c r="N28" s="88"/>
      <c r="O28" s="88"/>
      <c r="P28" s="88"/>
      <c r="Q28" s="88"/>
      <c r="R28" s="88"/>
      <c r="S28" s="88"/>
      <c r="T28" s="88"/>
      <c r="U28" s="88"/>
      <c r="V28" s="88"/>
    </row>
    <row r="29" spans="1:24" ht="12.6" thickBot="1" x14ac:dyDescent="0.45">
      <c r="I29" s="84"/>
      <c r="J29" s="84"/>
      <c r="K29" s="88"/>
      <c r="L29" s="88">
        <v>90</v>
      </c>
      <c r="M29" s="88" t="s">
        <v>66</v>
      </c>
      <c r="N29" s="88"/>
      <c r="O29" s="88"/>
      <c r="P29" s="88"/>
      <c r="Q29" s="88"/>
      <c r="R29" s="88"/>
      <c r="S29" s="88"/>
      <c r="T29" s="88"/>
      <c r="U29" s="88"/>
      <c r="V29" s="88"/>
    </row>
    <row r="30" spans="1:24" ht="18" thickBot="1" x14ac:dyDescent="0.65">
      <c r="B30" s="131" t="s">
        <v>98</v>
      </c>
      <c r="C30" s="132"/>
      <c r="D30" s="132"/>
      <c r="E30" s="132"/>
      <c r="F30" s="132"/>
      <c r="G30" s="132"/>
      <c r="H30" s="133"/>
      <c r="I30" s="84"/>
      <c r="J30" s="84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</row>
    <row r="31" spans="1:24" ht="12.6" thickBot="1" x14ac:dyDescent="0.45">
      <c r="A31" t="s">
        <v>46</v>
      </c>
      <c r="B31" s="6"/>
      <c r="C31" s="7"/>
      <c r="D31" s="7"/>
      <c r="E31" s="7"/>
      <c r="F31" s="7"/>
      <c r="G31" s="7"/>
      <c r="H31" s="8"/>
      <c r="I31" s="84"/>
      <c r="J31" s="84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</row>
    <row r="32" spans="1:24" x14ac:dyDescent="0.4">
      <c r="B32" s="21" t="s">
        <v>90</v>
      </c>
      <c r="C32" s="10">
        <f>IF($C$10="Flüssiggasheizung",C11,0)</f>
        <v>0</v>
      </c>
      <c r="D32" s="8" t="s">
        <v>88</v>
      </c>
      <c r="E32" s="21" t="s">
        <v>42</v>
      </c>
      <c r="F32" s="7"/>
      <c r="G32" s="55">
        <v>20000</v>
      </c>
      <c r="H32" s="8" t="s">
        <v>10</v>
      </c>
      <c r="I32" s="84"/>
      <c r="J32" s="84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</row>
    <row r="33" spans="2:22" x14ac:dyDescent="0.4">
      <c r="B33" s="12" t="s">
        <v>48</v>
      </c>
      <c r="C33" s="13">
        <v>90</v>
      </c>
      <c r="D33" s="52" t="s">
        <v>91</v>
      </c>
      <c r="E33" s="12" t="s">
        <v>53</v>
      </c>
      <c r="G33" s="22">
        <v>4</v>
      </c>
      <c r="H33" s="11" t="s">
        <v>14</v>
      </c>
      <c r="I33" s="84"/>
      <c r="J33" s="84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</row>
    <row r="34" spans="2:22" x14ac:dyDescent="0.4">
      <c r="B34" s="12" t="s">
        <v>49</v>
      </c>
      <c r="C34" s="14">
        <f>C33*C32/100</f>
        <v>0</v>
      </c>
      <c r="D34" s="52" t="s">
        <v>21</v>
      </c>
      <c r="E34" s="12" t="s">
        <v>51</v>
      </c>
      <c r="G34" s="57">
        <v>20</v>
      </c>
      <c r="H34" s="11" t="s">
        <v>20</v>
      </c>
      <c r="I34" s="84"/>
      <c r="J34" s="84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</row>
    <row r="35" spans="2:22" x14ac:dyDescent="0.4">
      <c r="B35" s="12" t="s">
        <v>109</v>
      </c>
      <c r="C35" s="14">
        <v>350</v>
      </c>
      <c r="D35" s="52" t="s">
        <v>21</v>
      </c>
      <c r="E35" s="12" t="s">
        <v>52</v>
      </c>
      <c r="G35" s="51">
        <f>(G32/G34)+(G32*G33/100/2)</f>
        <v>1400</v>
      </c>
      <c r="H35" s="11" t="s">
        <v>21</v>
      </c>
      <c r="I35" s="84"/>
      <c r="J35" s="84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</row>
    <row r="36" spans="2:22" ht="14.1" x14ac:dyDescent="0.5">
      <c r="B36" s="12" t="s">
        <v>60</v>
      </c>
      <c r="C36" s="14">
        <v>70</v>
      </c>
      <c r="D36" s="52" t="s">
        <v>21</v>
      </c>
      <c r="E36" s="19" t="s">
        <v>22</v>
      </c>
      <c r="G36" s="41">
        <f>G35+C37</f>
        <v>1820</v>
      </c>
      <c r="H36" s="23" t="s">
        <v>21</v>
      </c>
      <c r="I36" s="84"/>
      <c r="J36" s="84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2:22" x14ac:dyDescent="0.4">
      <c r="B37" s="15" t="s">
        <v>65</v>
      </c>
      <c r="C37" s="16">
        <f>SUM(C34:C36)</f>
        <v>420</v>
      </c>
      <c r="D37" s="52" t="s">
        <v>21</v>
      </c>
      <c r="E37" s="12" t="s">
        <v>54</v>
      </c>
      <c r="G37" s="24" t="str">
        <f>IF(C32=0,"",G35/C41*100)</f>
        <v/>
      </c>
      <c r="H37" s="11" t="s">
        <v>69</v>
      </c>
      <c r="I37" s="84"/>
      <c r="J37" s="84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</row>
    <row r="38" spans="2:22" x14ac:dyDescent="0.4">
      <c r="B38" s="12"/>
      <c r="D38" s="11"/>
      <c r="E38" s="19" t="s">
        <v>26</v>
      </c>
      <c r="G38" s="24" t="str">
        <f>C42</f>
        <v/>
      </c>
      <c r="H38" s="11" t="s">
        <v>69</v>
      </c>
      <c r="I38" s="84"/>
      <c r="J38" s="84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</row>
    <row r="39" spans="2:22" ht="14.1" x14ac:dyDescent="0.5">
      <c r="B39" s="12" t="s">
        <v>68</v>
      </c>
      <c r="C39" s="14">
        <f>C32*7.13</f>
        <v>0</v>
      </c>
      <c r="D39" s="11" t="s">
        <v>58</v>
      </c>
      <c r="E39" s="15" t="s">
        <v>23</v>
      </c>
      <c r="F39" s="34"/>
      <c r="G39" s="49" t="str">
        <f>IF(C32=0,"",G38+G37)</f>
        <v/>
      </c>
      <c r="H39" s="17" t="s">
        <v>69</v>
      </c>
      <c r="I39" s="84"/>
      <c r="J39" s="84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</row>
    <row r="40" spans="2:22" x14ac:dyDescent="0.4">
      <c r="B40" s="12" t="s">
        <v>59</v>
      </c>
      <c r="C40" s="18">
        <f>IF(C13="ja",L29,L28)</f>
        <v>80</v>
      </c>
      <c r="D40" s="11" t="s">
        <v>14</v>
      </c>
      <c r="E40" s="12"/>
      <c r="H40" s="11"/>
      <c r="I40" s="84"/>
      <c r="J40" s="84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2:22" x14ac:dyDescent="0.4">
      <c r="B41" s="12" t="s">
        <v>50</v>
      </c>
      <c r="C41" s="14">
        <f>C39*C40/100</f>
        <v>0</v>
      </c>
      <c r="D41" s="11" t="s">
        <v>58</v>
      </c>
      <c r="E41" s="12"/>
      <c r="H41" s="11"/>
      <c r="I41" s="84"/>
      <c r="J41" s="84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2:22" ht="12.6" thickBot="1" x14ac:dyDescent="0.45">
      <c r="B42" s="20" t="s">
        <v>17</v>
      </c>
      <c r="C42" s="48" t="str">
        <f>IF(C32=0,"",C37/C41*100)</f>
        <v/>
      </c>
      <c r="D42" s="54" t="s">
        <v>69</v>
      </c>
      <c r="E42" s="25"/>
      <c r="F42" s="26"/>
      <c r="G42" s="26"/>
      <c r="H42" s="36"/>
      <c r="I42" s="84"/>
      <c r="J42" s="84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</row>
    <row r="43" spans="2:22" ht="12.6" thickBot="1" x14ac:dyDescent="0.45">
      <c r="B43" s="34"/>
      <c r="C43" s="69"/>
      <c r="D43" s="34"/>
      <c r="I43" s="84"/>
      <c r="J43" s="84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</row>
    <row r="44" spans="2:22" ht="18" thickBot="1" x14ac:dyDescent="0.65">
      <c r="B44" s="131" t="s">
        <v>100</v>
      </c>
      <c r="C44" s="132"/>
      <c r="D44" s="132"/>
      <c r="E44" s="132"/>
      <c r="F44" s="132"/>
      <c r="G44" s="132"/>
      <c r="H44" s="133"/>
      <c r="I44" s="84"/>
      <c r="J44" s="84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</row>
    <row r="45" spans="2:22" ht="12.6" thickBot="1" x14ac:dyDescent="0.45">
      <c r="B45" s="6"/>
      <c r="C45" s="7"/>
      <c r="D45" s="7"/>
      <c r="E45" s="7"/>
      <c r="F45" s="7"/>
      <c r="G45" s="7"/>
      <c r="H45" s="8"/>
      <c r="I45" s="84"/>
      <c r="J45" s="84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</row>
    <row r="46" spans="2:22" x14ac:dyDescent="0.4">
      <c r="B46" s="21" t="s">
        <v>50</v>
      </c>
      <c r="C46" s="10">
        <f>IF(C27=0,C41,C27)</f>
        <v>20000</v>
      </c>
      <c r="D46" s="8" t="s">
        <v>58</v>
      </c>
      <c r="E46" s="21" t="s">
        <v>77</v>
      </c>
      <c r="F46" s="7"/>
      <c r="G46" s="81">
        <v>35000</v>
      </c>
      <c r="H46" s="8" t="s">
        <v>10</v>
      </c>
      <c r="I46" s="84"/>
      <c r="J46" s="84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</row>
    <row r="47" spans="2:22" x14ac:dyDescent="0.4">
      <c r="B47" s="12" t="s">
        <v>80</v>
      </c>
      <c r="C47" s="13">
        <v>45</v>
      </c>
      <c r="D47" s="52" t="s">
        <v>24</v>
      </c>
      <c r="E47" s="12" t="s">
        <v>87</v>
      </c>
      <c r="F47" s="82">
        <v>50</v>
      </c>
      <c r="G47" s="79">
        <f>G46/100*F47</f>
        <v>17500</v>
      </c>
      <c r="H47" s="11" t="s">
        <v>10</v>
      </c>
      <c r="I47" s="84"/>
      <c r="J47" s="84"/>
      <c r="K47" s="88"/>
      <c r="L47" s="90"/>
      <c r="M47" s="88"/>
      <c r="N47" s="88"/>
      <c r="O47" s="88"/>
      <c r="P47" s="88"/>
      <c r="Q47" s="88"/>
      <c r="R47" s="88"/>
      <c r="S47" s="88"/>
      <c r="T47" s="88"/>
      <c r="U47" s="88"/>
      <c r="V47" s="88"/>
    </row>
    <row r="48" spans="2:22" x14ac:dyDescent="0.4">
      <c r="B48" s="12" t="s">
        <v>78</v>
      </c>
      <c r="C48" s="70">
        <v>2.75</v>
      </c>
      <c r="D48" s="52"/>
      <c r="E48" s="12" t="s">
        <v>86</v>
      </c>
      <c r="G48" s="80">
        <f>G46-G47</f>
        <v>17500</v>
      </c>
      <c r="H48" s="11" t="s">
        <v>10</v>
      </c>
      <c r="I48" s="84"/>
      <c r="J48" s="84"/>
      <c r="K48" s="88"/>
      <c r="L48" s="90"/>
      <c r="M48" s="88"/>
      <c r="N48" s="88"/>
      <c r="O48" s="88"/>
      <c r="P48" s="88"/>
      <c r="Q48" s="88"/>
      <c r="R48" s="88"/>
      <c r="S48" s="88"/>
      <c r="T48" s="88"/>
      <c r="U48" s="88"/>
      <c r="V48" s="88"/>
    </row>
    <row r="49" spans="2:22" x14ac:dyDescent="0.4">
      <c r="B49" s="12" t="s">
        <v>11</v>
      </c>
      <c r="C49" s="14">
        <v>300</v>
      </c>
      <c r="D49" s="52" t="s">
        <v>21</v>
      </c>
      <c r="E49" s="12" t="s">
        <v>53</v>
      </c>
      <c r="G49" s="22">
        <v>4</v>
      </c>
      <c r="H49" s="11" t="s">
        <v>14</v>
      </c>
      <c r="I49" s="84"/>
      <c r="J49" s="84"/>
      <c r="K49" s="88"/>
      <c r="L49" s="90"/>
      <c r="M49" s="88"/>
      <c r="N49" s="88"/>
      <c r="O49" s="88"/>
      <c r="P49" s="88"/>
      <c r="Q49" s="88"/>
      <c r="R49" s="88"/>
      <c r="S49" s="88"/>
      <c r="T49" s="88"/>
      <c r="U49" s="88"/>
      <c r="V49" s="88"/>
    </row>
    <row r="50" spans="2:22" x14ac:dyDescent="0.4">
      <c r="B50" s="12"/>
      <c r="C50" s="68"/>
      <c r="D50" s="52"/>
      <c r="E50" s="12" t="s">
        <v>51</v>
      </c>
      <c r="G50" s="57">
        <v>20</v>
      </c>
      <c r="H50" s="11" t="s">
        <v>20</v>
      </c>
      <c r="I50" s="84"/>
      <c r="J50" s="84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</row>
    <row r="51" spans="2:22" x14ac:dyDescent="0.4">
      <c r="B51" s="15" t="s">
        <v>79</v>
      </c>
      <c r="C51" s="16">
        <f>(C46/C48*C47/100)+C49</f>
        <v>3572.727272727273</v>
      </c>
      <c r="D51" s="52" t="s">
        <v>21</v>
      </c>
      <c r="E51" s="12" t="s">
        <v>52</v>
      </c>
      <c r="G51" s="51">
        <f>(G48/G50)+(G48*G49/100/2)</f>
        <v>1225</v>
      </c>
      <c r="H51" s="11" t="s">
        <v>21</v>
      </c>
      <c r="I51" s="84"/>
      <c r="J51" s="84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</row>
    <row r="52" spans="2:22" ht="14.1" x14ac:dyDescent="0.5">
      <c r="B52" s="12"/>
      <c r="D52" s="11"/>
      <c r="E52" s="19" t="s">
        <v>22</v>
      </c>
      <c r="G52" s="41">
        <f>G51+C51</f>
        <v>4797.727272727273</v>
      </c>
      <c r="H52" s="23" t="s">
        <v>21</v>
      </c>
      <c r="I52" s="84"/>
      <c r="J52" s="84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</row>
    <row r="53" spans="2:22" x14ac:dyDescent="0.4">
      <c r="B53" s="12"/>
      <c r="C53" s="68"/>
      <c r="D53" s="11"/>
      <c r="E53" s="12" t="s">
        <v>54</v>
      </c>
      <c r="G53" s="24">
        <f>G51/C46*100</f>
        <v>6.125</v>
      </c>
      <c r="H53" s="11" t="s">
        <v>69</v>
      </c>
      <c r="I53" s="84"/>
      <c r="J53" s="84"/>
      <c r="K53" s="88"/>
      <c r="L53" s="88"/>
      <c r="M53" s="92"/>
      <c r="N53" s="88"/>
      <c r="O53" s="88"/>
      <c r="P53" s="88"/>
      <c r="Q53" s="88"/>
      <c r="R53" s="88"/>
      <c r="S53" s="88"/>
      <c r="T53" s="88"/>
      <c r="U53" s="88"/>
      <c r="V53" s="88"/>
    </row>
    <row r="54" spans="2:22" x14ac:dyDescent="0.4">
      <c r="B54" s="12"/>
      <c r="C54" s="71"/>
      <c r="D54" s="11"/>
      <c r="E54" s="12" t="s">
        <v>29</v>
      </c>
      <c r="G54" s="24">
        <f>C55</f>
        <v>17.863636363636363</v>
      </c>
      <c r="H54" s="11" t="s">
        <v>69</v>
      </c>
      <c r="I54" s="84"/>
      <c r="J54" s="84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</row>
    <row r="55" spans="2:22" ht="14.4" thickBot="1" x14ac:dyDescent="0.55000000000000004">
      <c r="B55" s="20" t="s">
        <v>17</v>
      </c>
      <c r="C55" s="48">
        <f>C51/C46*100</f>
        <v>17.863636363636363</v>
      </c>
      <c r="D55" s="54" t="s">
        <v>69</v>
      </c>
      <c r="E55" s="20" t="s">
        <v>23</v>
      </c>
      <c r="F55" s="72"/>
      <c r="G55" s="73">
        <f>G54+G53</f>
        <v>23.988636363636363</v>
      </c>
      <c r="H55" s="54" t="s">
        <v>69</v>
      </c>
      <c r="I55" s="84"/>
      <c r="J55" s="84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</row>
    <row r="56" spans="2:22" ht="12.6" thickBot="1" x14ac:dyDescent="0.45">
      <c r="B56" s="34"/>
      <c r="C56" s="69"/>
      <c r="D56" s="34"/>
      <c r="I56" s="84"/>
      <c r="J56" s="84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</row>
    <row r="57" spans="2:22" ht="18" thickBot="1" x14ac:dyDescent="0.65">
      <c r="B57" s="131" t="s">
        <v>103</v>
      </c>
      <c r="C57" s="132"/>
      <c r="D57" s="132"/>
      <c r="E57" s="132"/>
      <c r="F57" s="132"/>
      <c r="G57" s="132"/>
      <c r="H57" s="133"/>
      <c r="I57" s="84"/>
      <c r="J57" s="84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</row>
    <row r="58" spans="2:22" ht="12.6" thickBot="1" x14ac:dyDescent="0.45">
      <c r="B58" s="6"/>
      <c r="C58" s="7"/>
      <c r="D58" s="7"/>
      <c r="E58" s="7"/>
      <c r="F58" s="7"/>
      <c r="G58" s="7"/>
      <c r="H58" s="8"/>
      <c r="I58" s="84"/>
      <c r="J58" s="84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</row>
    <row r="59" spans="2:22" x14ac:dyDescent="0.4">
      <c r="B59" s="21" t="s">
        <v>96</v>
      </c>
      <c r="C59" s="94">
        <f>IF(C18&gt;0,C25/4800*1000,C39/4800*1000)</f>
        <v>5208.333333333333</v>
      </c>
      <c r="D59" s="8" t="s">
        <v>94</v>
      </c>
      <c r="E59" s="21" t="s">
        <v>104</v>
      </c>
      <c r="F59" s="7"/>
      <c r="G59" s="55">
        <v>45000</v>
      </c>
      <c r="H59" s="8" t="s">
        <v>10</v>
      </c>
      <c r="I59" s="84"/>
      <c r="J59" s="84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</row>
    <row r="60" spans="2:22" x14ac:dyDescent="0.4">
      <c r="B60" s="12" t="s">
        <v>97</v>
      </c>
      <c r="C60" s="13">
        <v>350</v>
      </c>
      <c r="D60" s="11" t="s">
        <v>95</v>
      </c>
      <c r="E60" s="12" t="s">
        <v>87</v>
      </c>
      <c r="F60" s="82">
        <v>50</v>
      </c>
      <c r="G60" s="79">
        <f>G59/100*F60</f>
        <v>22500</v>
      </c>
      <c r="H60" s="11" t="s">
        <v>10</v>
      </c>
      <c r="I60" s="84"/>
      <c r="J60" s="84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</row>
    <row r="61" spans="2:22" x14ac:dyDescent="0.4">
      <c r="B61" s="12" t="s">
        <v>107</v>
      </c>
      <c r="C61" s="14">
        <f>C60*C59/1000</f>
        <v>1822.9166666666665</v>
      </c>
      <c r="D61" s="52" t="s">
        <v>21</v>
      </c>
      <c r="E61" s="12" t="s">
        <v>86</v>
      </c>
      <c r="G61" s="80">
        <f>G59-G60</f>
        <v>22500</v>
      </c>
      <c r="H61" s="11" t="s">
        <v>10</v>
      </c>
      <c r="I61" s="84"/>
      <c r="J61" s="84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</row>
    <row r="62" spans="2:22" x14ac:dyDescent="0.4">
      <c r="B62" s="12" t="s">
        <v>109</v>
      </c>
      <c r="C62" s="14">
        <v>300</v>
      </c>
      <c r="D62" s="52" t="s">
        <v>21</v>
      </c>
      <c r="E62" s="12" t="s">
        <v>53</v>
      </c>
      <c r="G62" s="22">
        <v>4</v>
      </c>
      <c r="H62" s="11" t="s">
        <v>14</v>
      </c>
      <c r="I62" s="84"/>
      <c r="J62" s="84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</row>
    <row r="63" spans="2:22" x14ac:dyDescent="0.4">
      <c r="B63" s="12" t="s">
        <v>60</v>
      </c>
      <c r="C63" s="14">
        <v>70</v>
      </c>
      <c r="D63" s="52" t="s">
        <v>21</v>
      </c>
      <c r="E63" s="12" t="s">
        <v>51</v>
      </c>
      <c r="G63" s="57">
        <v>17</v>
      </c>
      <c r="H63" s="11" t="s">
        <v>20</v>
      </c>
      <c r="I63" s="84"/>
      <c r="J63" s="84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</row>
    <row r="64" spans="2:22" x14ac:dyDescent="0.4">
      <c r="B64" s="15" t="s">
        <v>106</v>
      </c>
      <c r="C64" s="16">
        <f>SUM(C61:C63)</f>
        <v>2192.9166666666665</v>
      </c>
      <c r="D64" s="52" t="s">
        <v>21</v>
      </c>
      <c r="E64" s="12" t="s">
        <v>52</v>
      </c>
      <c r="G64" s="51">
        <f>(G61/G63)+(G59*G62/100/2)</f>
        <v>2223.5294117647059</v>
      </c>
      <c r="H64" s="11" t="s">
        <v>21</v>
      </c>
      <c r="I64" s="84"/>
      <c r="J64" s="84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</row>
    <row r="65" spans="2:22" ht="14.1" x14ac:dyDescent="0.5">
      <c r="B65" s="12"/>
      <c r="D65" s="11"/>
      <c r="E65" s="19" t="s">
        <v>22</v>
      </c>
      <c r="G65" s="41">
        <f>G64+C64</f>
        <v>4416.4460784313724</v>
      </c>
      <c r="H65" s="23" t="s">
        <v>21</v>
      </c>
      <c r="I65" s="84"/>
      <c r="J65" s="84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</row>
    <row r="66" spans="2:22" x14ac:dyDescent="0.4">
      <c r="B66" s="12" t="s">
        <v>68</v>
      </c>
      <c r="C66" s="14">
        <f>C59*4.8</f>
        <v>24999.999999999996</v>
      </c>
      <c r="D66" s="11" t="s">
        <v>58</v>
      </c>
      <c r="E66" s="12" t="s">
        <v>54</v>
      </c>
      <c r="G66" s="24">
        <f>G64/C68*100</f>
        <v>11.117647058823531</v>
      </c>
      <c r="H66" s="11" t="s">
        <v>69</v>
      </c>
      <c r="I66" s="84"/>
      <c r="J66" s="84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</row>
    <row r="67" spans="2:22" x14ac:dyDescent="0.4">
      <c r="B67" s="12" t="s">
        <v>59</v>
      </c>
      <c r="C67" s="18">
        <v>80</v>
      </c>
      <c r="D67" s="11" t="s">
        <v>14</v>
      </c>
      <c r="E67" s="19" t="s">
        <v>105</v>
      </c>
      <c r="G67" s="24">
        <f>C69</f>
        <v>10.964583333333335</v>
      </c>
      <c r="H67" s="11" t="s">
        <v>69</v>
      </c>
      <c r="I67" s="84"/>
      <c r="J67" s="84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</row>
    <row r="68" spans="2:22" ht="14.1" x14ac:dyDescent="0.5">
      <c r="B68" s="12" t="s">
        <v>50</v>
      </c>
      <c r="C68" s="14">
        <f>C66*C67/100</f>
        <v>19999.999999999996</v>
      </c>
      <c r="D68" s="11" t="s">
        <v>58</v>
      </c>
      <c r="E68" s="15" t="s">
        <v>23</v>
      </c>
      <c r="F68" s="34"/>
      <c r="G68" s="49">
        <f>G67+G66</f>
        <v>22.082230392156866</v>
      </c>
      <c r="H68" s="17" t="s">
        <v>69</v>
      </c>
      <c r="I68" s="84"/>
      <c r="J68" s="84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</row>
    <row r="69" spans="2:22" ht="12.6" thickBot="1" x14ac:dyDescent="0.45">
      <c r="B69" s="20" t="s">
        <v>17</v>
      </c>
      <c r="C69" s="48">
        <f>C64/C68*100</f>
        <v>10.964583333333335</v>
      </c>
      <c r="D69" s="54" t="s">
        <v>69</v>
      </c>
      <c r="E69" s="25"/>
      <c r="F69" s="26"/>
      <c r="G69" s="26"/>
      <c r="H69" s="36"/>
      <c r="I69" s="84"/>
      <c r="J69" s="84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</row>
    <row r="70" spans="2:22" ht="12.6" thickBot="1" x14ac:dyDescent="0.45">
      <c r="I70" s="84"/>
      <c r="J70" s="84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</row>
    <row r="71" spans="2:22" ht="18" thickBot="1" x14ac:dyDescent="0.65">
      <c r="B71" s="151" t="s">
        <v>111</v>
      </c>
      <c r="C71" s="152"/>
      <c r="D71" s="152"/>
      <c r="E71" s="152"/>
      <c r="F71" s="152"/>
      <c r="G71" s="152"/>
      <c r="H71" s="153"/>
      <c r="I71" s="84"/>
      <c r="J71" s="84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</row>
    <row r="72" spans="2:22" ht="12.6" thickBot="1" x14ac:dyDescent="0.45">
      <c r="B72" s="96"/>
      <c r="H72" s="97"/>
      <c r="I72" s="84"/>
      <c r="J72" s="84"/>
      <c r="K72" s="88"/>
      <c r="L72" s="88"/>
      <c r="M72" s="88"/>
      <c r="N72" s="88"/>
      <c r="O72" s="88"/>
      <c r="P72" s="93"/>
      <c r="Q72" s="88"/>
      <c r="R72" s="88"/>
      <c r="S72" s="88"/>
      <c r="T72" s="88"/>
      <c r="U72" s="88"/>
      <c r="V72" s="88"/>
    </row>
    <row r="73" spans="2:22" x14ac:dyDescent="0.4">
      <c r="B73" s="98" t="s">
        <v>74</v>
      </c>
      <c r="C73" s="10">
        <f>IF(C27&gt;0,C27,C41)</f>
        <v>20000</v>
      </c>
      <c r="D73" s="8" t="s">
        <v>57</v>
      </c>
      <c r="E73" s="21" t="s">
        <v>43</v>
      </c>
      <c r="F73" s="7"/>
      <c r="G73" s="81">
        <v>15000</v>
      </c>
      <c r="H73" s="99" t="s">
        <v>10</v>
      </c>
      <c r="I73" s="84"/>
      <c r="J73" s="84"/>
      <c r="K73" s="88"/>
      <c r="L73" s="88"/>
      <c r="M73" s="88"/>
      <c r="N73" s="88"/>
      <c r="O73" s="88"/>
      <c r="P73" s="93"/>
      <c r="Q73" s="88"/>
      <c r="R73" s="88"/>
      <c r="S73" s="88"/>
      <c r="T73" s="88"/>
      <c r="U73" s="88"/>
      <c r="V73" s="88"/>
    </row>
    <row r="74" spans="2:22" x14ac:dyDescent="0.4">
      <c r="B74" s="128" t="s">
        <v>75</v>
      </c>
      <c r="C74" s="13">
        <v>13</v>
      </c>
      <c r="D74" s="52" t="s">
        <v>24</v>
      </c>
      <c r="E74" s="19" t="s">
        <v>28</v>
      </c>
      <c r="G74" s="81">
        <v>15000</v>
      </c>
      <c r="H74" s="97" t="s">
        <v>10</v>
      </c>
      <c r="I74" s="84"/>
      <c r="J74" s="84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</row>
    <row r="75" spans="2:22" ht="12.75" customHeight="1" x14ac:dyDescent="0.4">
      <c r="B75" s="96" t="s">
        <v>36</v>
      </c>
      <c r="C75" s="86">
        <v>400</v>
      </c>
      <c r="D75" s="53" t="s">
        <v>37</v>
      </c>
      <c r="E75" s="12" t="s">
        <v>87</v>
      </c>
      <c r="F75" s="82">
        <v>50</v>
      </c>
      <c r="G75" s="79">
        <f>(G73+G74)/100*F75</f>
        <v>15000</v>
      </c>
      <c r="H75" s="97" t="s">
        <v>10</v>
      </c>
      <c r="I75" s="84"/>
      <c r="J75" s="84"/>
      <c r="K75" s="88"/>
      <c r="L75" s="88"/>
      <c r="M75" s="88"/>
      <c r="N75" s="88">
        <v>30</v>
      </c>
      <c r="O75" s="88"/>
      <c r="P75" s="88"/>
      <c r="Q75" s="88"/>
      <c r="R75" s="88"/>
      <c r="S75" s="88"/>
      <c r="T75" s="88"/>
      <c r="U75" s="88"/>
      <c r="V75" s="88"/>
    </row>
    <row r="76" spans="2:22" x14ac:dyDescent="0.4">
      <c r="B76" s="96"/>
      <c r="C76" s="87"/>
      <c r="D76" s="53"/>
      <c r="E76" s="12" t="s">
        <v>86</v>
      </c>
      <c r="G76" s="80">
        <f>(G74+G73)-G75</f>
        <v>15000</v>
      </c>
      <c r="H76" s="97" t="s">
        <v>10</v>
      </c>
      <c r="I76" s="84"/>
      <c r="J76" s="84"/>
      <c r="K76" s="88"/>
      <c r="L76" s="88"/>
      <c r="M76" s="88"/>
      <c r="N76" s="88">
        <v>40</v>
      </c>
      <c r="O76" s="88"/>
      <c r="P76" s="88"/>
      <c r="Q76" s="88"/>
      <c r="R76" s="88"/>
      <c r="S76" s="88"/>
      <c r="T76" s="88"/>
      <c r="U76" s="88"/>
      <c r="V76" s="88"/>
    </row>
    <row r="77" spans="2:22" x14ac:dyDescent="0.4">
      <c r="B77" s="100" t="s">
        <v>27</v>
      </c>
      <c r="C77" s="14">
        <f>(C73*C74/100)+C75</f>
        <v>3000</v>
      </c>
      <c r="D77" s="52" t="s">
        <v>21</v>
      </c>
      <c r="E77" s="12" t="s">
        <v>18</v>
      </c>
      <c r="G77" s="22">
        <v>4</v>
      </c>
      <c r="H77" s="97" t="s">
        <v>14</v>
      </c>
      <c r="I77" s="84"/>
      <c r="J77" s="84"/>
      <c r="K77" s="88"/>
      <c r="L77" s="88"/>
      <c r="M77" s="88"/>
      <c r="N77" s="88">
        <v>50</v>
      </c>
      <c r="O77" s="88"/>
      <c r="P77" s="88"/>
      <c r="Q77" s="88"/>
      <c r="R77" s="88"/>
      <c r="S77" s="88"/>
      <c r="T77" s="88"/>
      <c r="U77" s="88"/>
      <c r="V77" s="88"/>
    </row>
    <row r="78" spans="2:22" x14ac:dyDescent="0.4">
      <c r="B78" s="96" t="s">
        <v>11</v>
      </c>
      <c r="C78" s="14">
        <v>100</v>
      </c>
      <c r="D78" s="11" t="s">
        <v>10</v>
      </c>
      <c r="E78" s="12" t="s">
        <v>19</v>
      </c>
      <c r="G78" s="22">
        <v>25</v>
      </c>
      <c r="H78" s="97" t="s">
        <v>20</v>
      </c>
      <c r="I78" s="84"/>
      <c r="J78" s="84"/>
      <c r="K78" s="88"/>
      <c r="L78" s="88"/>
      <c r="M78" s="88"/>
      <c r="N78" s="88">
        <v>60</v>
      </c>
      <c r="O78" s="88"/>
      <c r="P78" s="88"/>
      <c r="Q78" s="88"/>
      <c r="R78" s="88"/>
      <c r="S78" s="88"/>
      <c r="T78" s="88"/>
      <c r="U78" s="88"/>
      <c r="V78" s="88"/>
    </row>
    <row r="79" spans="2:22" x14ac:dyDescent="0.4">
      <c r="B79" s="96" t="s">
        <v>12</v>
      </c>
      <c r="C79" s="14">
        <v>0</v>
      </c>
      <c r="D79" s="11" t="s">
        <v>10</v>
      </c>
      <c r="E79" s="12" t="s">
        <v>52</v>
      </c>
      <c r="G79" s="51">
        <f>((G76)/G78)+((G76)*G77/100/2)</f>
        <v>900</v>
      </c>
      <c r="H79" s="97" t="s">
        <v>21</v>
      </c>
      <c r="I79" s="84"/>
      <c r="J79" s="84"/>
      <c r="K79" s="88"/>
      <c r="L79" s="88"/>
      <c r="M79" s="88"/>
      <c r="N79" s="88">
        <v>70</v>
      </c>
      <c r="O79" s="88"/>
      <c r="P79" s="88"/>
      <c r="Q79" s="88"/>
      <c r="R79" s="88"/>
      <c r="S79" s="88"/>
      <c r="T79" s="88"/>
      <c r="U79" s="88"/>
      <c r="V79" s="88"/>
    </row>
    <row r="80" spans="2:22" ht="14.1" x14ac:dyDescent="0.5">
      <c r="B80" s="101" t="s">
        <v>25</v>
      </c>
      <c r="C80" s="16">
        <f>SUM(C77:C79)</f>
        <v>3100</v>
      </c>
      <c r="D80" s="11" t="s">
        <v>10</v>
      </c>
      <c r="E80" s="19" t="s">
        <v>22</v>
      </c>
      <c r="G80" s="41">
        <f>G79+C80</f>
        <v>4000</v>
      </c>
      <c r="H80" s="102" t="s">
        <v>21</v>
      </c>
      <c r="I80" s="84"/>
      <c r="J80" s="84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</row>
    <row r="81" spans="1:22" x14ac:dyDescent="0.4">
      <c r="B81" s="96"/>
      <c r="D81" s="11"/>
      <c r="E81" s="12" t="s">
        <v>41</v>
      </c>
      <c r="G81" s="24">
        <f>G79/C84*100</f>
        <v>4.5</v>
      </c>
      <c r="H81" s="97" t="s">
        <v>69</v>
      </c>
      <c r="I81" s="84"/>
      <c r="J81" s="84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</row>
    <row r="82" spans="1:22" ht="12.6" thickBot="1" x14ac:dyDescent="0.45">
      <c r="B82" s="96" t="s">
        <v>13</v>
      </c>
      <c r="C82" s="14">
        <f>C73</f>
        <v>20000</v>
      </c>
      <c r="D82" s="11" t="s">
        <v>58</v>
      </c>
      <c r="E82" s="19" t="s">
        <v>29</v>
      </c>
      <c r="G82" s="24">
        <f>C86</f>
        <v>15.5</v>
      </c>
      <c r="H82" s="97" t="s">
        <v>69</v>
      </c>
      <c r="I82" s="84"/>
      <c r="J82" s="84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</row>
    <row r="83" spans="1:22" ht="14.4" thickBot="1" x14ac:dyDescent="0.55000000000000004">
      <c r="B83" s="96" t="s">
        <v>59</v>
      </c>
      <c r="C83" s="18">
        <v>100</v>
      </c>
      <c r="D83" s="11" t="s">
        <v>14</v>
      </c>
      <c r="E83" s="15" t="s">
        <v>23</v>
      </c>
      <c r="F83" s="34"/>
      <c r="G83" s="110">
        <f>G82+G81</f>
        <v>20</v>
      </c>
      <c r="H83" s="103" t="s">
        <v>69</v>
      </c>
      <c r="I83" s="84"/>
      <c r="J83" s="84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</row>
    <row r="84" spans="1:22" x14ac:dyDescent="0.4">
      <c r="B84" s="96" t="s">
        <v>15</v>
      </c>
      <c r="C84" s="14">
        <f>C82*C83/100</f>
        <v>20000</v>
      </c>
      <c r="D84" s="11" t="s">
        <v>58</v>
      </c>
      <c r="E84" s="12"/>
      <c r="H84" s="97"/>
      <c r="I84" s="84"/>
      <c r="J84" s="84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</row>
    <row r="85" spans="1:22" x14ac:dyDescent="0.4">
      <c r="B85" s="96" t="s">
        <v>25</v>
      </c>
      <c r="C85" s="86">
        <f>C80</f>
        <v>3100</v>
      </c>
      <c r="D85" s="11" t="s">
        <v>10</v>
      </c>
      <c r="E85" s="12"/>
      <c r="H85" s="97"/>
      <c r="I85" s="84"/>
      <c r="J85" s="84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</row>
    <row r="86" spans="1:22" ht="12.6" thickBot="1" x14ac:dyDescent="0.45">
      <c r="B86" s="104" t="s">
        <v>17</v>
      </c>
      <c r="C86" s="105">
        <f>C85/C84*100</f>
        <v>15.5</v>
      </c>
      <c r="D86" s="106" t="s">
        <v>24</v>
      </c>
      <c r="E86" s="107"/>
      <c r="F86" s="108"/>
      <c r="G86" s="108"/>
      <c r="H86" s="109"/>
      <c r="I86" s="84"/>
      <c r="J86" s="84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</row>
    <row r="87" spans="1:22" ht="12.6" thickBot="1" x14ac:dyDescent="0.45"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</row>
    <row r="88" spans="1:22" ht="15" x14ac:dyDescent="0.5">
      <c r="B88" s="136" t="s">
        <v>70</v>
      </c>
      <c r="C88" s="137"/>
      <c r="D88" s="35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</row>
    <row r="89" spans="1:22" ht="24.75" customHeight="1" x14ac:dyDescent="0.5">
      <c r="B89" s="138"/>
      <c r="C89" s="139"/>
      <c r="D89" s="35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</row>
    <row r="90" spans="1:22" ht="10.5" customHeight="1" x14ac:dyDescent="0.4">
      <c r="B90" s="140"/>
      <c r="C90" s="141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</row>
    <row r="91" spans="1:22" ht="12.75" customHeight="1" x14ac:dyDescent="0.4">
      <c r="B91" s="134" t="s">
        <v>72</v>
      </c>
      <c r="C91" s="135" t="s">
        <v>71</v>
      </c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</row>
    <row r="92" spans="1:22" x14ac:dyDescent="0.4">
      <c r="B92" s="134"/>
      <c r="C92" s="135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</row>
    <row r="93" spans="1:22" x14ac:dyDescent="0.4">
      <c r="B93" s="134"/>
      <c r="C93" s="135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</row>
    <row r="94" spans="1:22" x14ac:dyDescent="0.4">
      <c r="B94" s="27" t="s">
        <v>7</v>
      </c>
      <c r="C94" s="28">
        <f>G25</f>
        <v>24.1</v>
      </c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</row>
    <row r="95" spans="1:22" x14ac:dyDescent="0.4">
      <c r="A95" s="29"/>
      <c r="B95" s="30" t="s">
        <v>30</v>
      </c>
      <c r="C95" s="28" t="str">
        <f>G39</f>
        <v/>
      </c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</row>
    <row r="96" spans="1:22" x14ac:dyDescent="0.4">
      <c r="A96" s="31"/>
      <c r="B96" s="27" t="s">
        <v>81</v>
      </c>
      <c r="C96" s="28">
        <f>G55</f>
        <v>23.988636363636363</v>
      </c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</row>
    <row r="97" spans="1:22" ht="12.6" thickBot="1" x14ac:dyDescent="0.45">
      <c r="A97" s="31"/>
      <c r="B97" s="27" t="s">
        <v>102</v>
      </c>
      <c r="C97" s="112">
        <f>G68</f>
        <v>22.082230392156866</v>
      </c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</row>
    <row r="98" spans="1:22" ht="12.6" thickBot="1" x14ac:dyDescent="0.45">
      <c r="A98" s="31"/>
      <c r="B98" s="111" t="s">
        <v>31</v>
      </c>
      <c r="C98" s="114">
        <f>G83</f>
        <v>20</v>
      </c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</row>
    <row r="99" spans="1:22" x14ac:dyDescent="0.4">
      <c r="B99" s="75"/>
      <c r="C99" s="113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</row>
    <row r="100" spans="1:22" ht="9.75" customHeight="1" x14ac:dyDescent="0.4">
      <c r="B100" s="134" t="s">
        <v>32</v>
      </c>
      <c r="C100" s="135" t="s">
        <v>33</v>
      </c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</row>
    <row r="101" spans="1:22" x14ac:dyDescent="0.4">
      <c r="A101" s="32"/>
      <c r="B101" s="134"/>
      <c r="C101" s="135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</row>
    <row r="102" spans="1:22" x14ac:dyDescent="0.4">
      <c r="B102" s="27" t="s">
        <v>7</v>
      </c>
      <c r="C102" s="33">
        <f>G22</f>
        <v>4820</v>
      </c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</row>
    <row r="103" spans="1:22" x14ac:dyDescent="0.4">
      <c r="B103" s="30" t="s">
        <v>30</v>
      </c>
      <c r="C103" s="33" t="str">
        <f>IF(C32=0,"",G36)</f>
        <v/>
      </c>
      <c r="D103" s="38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</row>
    <row r="104" spans="1:22" x14ac:dyDescent="0.4">
      <c r="B104" s="27" t="s">
        <v>81</v>
      </c>
      <c r="C104" s="33">
        <f>G52</f>
        <v>4797.727272727273</v>
      </c>
      <c r="D104" s="38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</row>
    <row r="105" spans="1:22" ht="12.6" thickBot="1" x14ac:dyDescent="0.45">
      <c r="B105" s="27" t="s">
        <v>102</v>
      </c>
      <c r="C105" s="95">
        <f>G65</f>
        <v>4416.4460784313724</v>
      </c>
      <c r="D105" s="38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</row>
    <row r="106" spans="1:22" ht="12.6" thickBot="1" x14ac:dyDescent="0.45">
      <c r="B106" s="115" t="s">
        <v>31</v>
      </c>
      <c r="C106" s="116">
        <f>G80</f>
        <v>4000</v>
      </c>
      <c r="D106" s="39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</row>
    <row r="107" spans="1:22" ht="12.75" customHeight="1" thickBot="1" x14ac:dyDescent="0.45">
      <c r="B107" s="32"/>
      <c r="C107" s="74"/>
      <c r="D107" s="39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</row>
    <row r="108" spans="1:22" ht="36.75" customHeight="1" thickBot="1" x14ac:dyDescent="0.45">
      <c r="B108" s="118"/>
      <c r="C108" s="77" t="s">
        <v>39</v>
      </c>
      <c r="D108" s="119" t="s">
        <v>38</v>
      </c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</row>
    <row r="109" spans="1:22" ht="15.75" customHeight="1" x14ac:dyDescent="0.5">
      <c r="B109" s="120" t="s">
        <v>34</v>
      </c>
      <c r="C109" s="121">
        <f>IF(C94="","",C102-C106)</f>
        <v>820</v>
      </c>
      <c r="D109" s="122">
        <f>IF(C109="","",C109*10)</f>
        <v>8200</v>
      </c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</row>
    <row r="110" spans="1:22" ht="14.4" thickBot="1" x14ac:dyDescent="0.55000000000000004">
      <c r="B110" s="123" t="s">
        <v>35</v>
      </c>
      <c r="C110" s="117" t="str">
        <f>IF(C95="","",C103-C106)</f>
        <v/>
      </c>
      <c r="D110" s="124" t="str">
        <f>IF(C110="","",C110*10)</f>
        <v/>
      </c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</row>
    <row r="111" spans="1:22" ht="14.4" thickBot="1" x14ac:dyDescent="0.55000000000000004">
      <c r="B111" s="123" t="s">
        <v>85</v>
      </c>
      <c r="C111" s="117">
        <f>C104-C106</f>
        <v>797.72727272727298</v>
      </c>
      <c r="D111" s="124">
        <f>C111*10</f>
        <v>7977.2727272727298</v>
      </c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</row>
    <row r="112" spans="1:22" ht="14.4" thickBot="1" x14ac:dyDescent="0.55000000000000004">
      <c r="B112" s="125" t="s">
        <v>101</v>
      </c>
      <c r="C112" s="126">
        <f>C105-C106</f>
        <v>416.44607843137237</v>
      </c>
      <c r="D112" s="127">
        <f>C112*10</f>
        <v>4164.4607843137237</v>
      </c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</row>
    <row r="113" spans="2:22" x14ac:dyDescent="0.4">
      <c r="D113" s="3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</row>
    <row r="114" spans="2:22" x14ac:dyDescent="0.4"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</row>
    <row r="115" spans="2:22" ht="14.1" x14ac:dyDescent="0.5">
      <c r="B115" s="142" t="s">
        <v>73</v>
      </c>
      <c r="C115" s="142"/>
      <c r="D115" s="142"/>
      <c r="E115" s="142"/>
      <c r="F115" s="61"/>
      <c r="G115" s="61"/>
      <c r="H115" s="61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</row>
    <row r="116" spans="2:22" ht="14.1" x14ac:dyDescent="0.5">
      <c r="B116" s="60"/>
      <c r="C116" s="60"/>
      <c r="D116" s="60"/>
      <c r="E116" s="60"/>
      <c r="F116" s="61"/>
      <c r="G116" s="61"/>
      <c r="H116" s="61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</row>
    <row r="117" spans="2:22" x14ac:dyDescent="0.4">
      <c r="B117" s="66">
        <f>C109</f>
        <v>820</v>
      </c>
      <c r="C117" s="59">
        <f>C18</f>
        <v>2500</v>
      </c>
      <c r="D117" s="129" t="s">
        <v>82</v>
      </c>
      <c r="E117" s="129"/>
      <c r="F117" s="62"/>
    </row>
    <row r="118" spans="2:22" x14ac:dyDescent="0.4">
      <c r="B118" s="46">
        <v>0.55000000000000004</v>
      </c>
      <c r="C118" s="45">
        <f t="dataTable" ref="C118:C121" dt2D="1" dtr="1" r1="C18" r2="C19" ca="1"/>
        <v>-805</v>
      </c>
      <c r="D118" s="129"/>
      <c r="E118" s="129"/>
      <c r="F118" s="63"/>
    </row>
    <row r="119" spans="2:22" x14ac:dyDescent="0.4">
      <c r="B119" s="46">
        <v>1</v>
      </c>
      <c r="C119" s="45">
        <v>320</v>
      </c>
      <c r="D119" s="129"/>
      <c r="E119" s="129"/>
      <c r="F119" s="63"/>
    </row>
    <row r="120" spans="2:22" x14ac:dyDescent="0.4">
      <c r="B120" s="46">
        <v>1.5</v>
      </c>
      <c r="C120" s="45">
        <v>1570</v>
      </c>
      <c r="D120" s="129"/>
      <c r="E120" s="129"/>
      <c r="F120" s="63"/>
    </row>
    <row r="121" spans="2:22" x14ac:dyDescent="0.4">
      <c r="B121" s="46">
        <v>1.8</v>
      </c>
      <c r="C121" s="45">
        <v>2320</v>
      </c>
      <c r="D121" s="129"/>
      <c r="E121" s="129"/>
      <c r="F121" s="63"/>
    </row>
    <row r="123" spans="2:22" ht="12.75" customHeight="1" x14ac:dyDescent="0.4">
      <c r="B123" s="65" t="str">
        <f>C110</f>
        <v/>
      </c>
      <c r="C123" s="58">
        <f>C32</f>
        <v>0</v>
      </c>
      <c r="D123" s="129" t="s">
        <v>83</v>
      </c>
      <c r="E123" s="129"/>
      <c r="F123" s="64"/>
    </row>
    <row r="124" spans="2:22" x14ac:dyDescent="0.4">
      <c r="B124" s="85">
        <v>70</v>
      </c>
      <c r="C124" s="45" t="str">
        <f t="dataTable" ref="C124:C127" dt2D="1" dtr="1" r1="C32" r2="C33" ca="1"/>
        <v/>
      </c>
      <c r="D124" s="129"/>
      <c r="E124" s="129"/>
      <c r="F124" s="63"/>
    </row>
    <row r="125" spans="2:22" x14ac:dyDescent="0.4">
      <c r="B125" s="85">
        <v>80</v>
      </c>
      <c r="C125" s="45" t="str">
        <v/>
      </c>
      <c r="D125" s="129"/>
      <c r="E125" s="129"/>
      <c r="F125" s="63"/>
    </row>
    <row r="126" spans="2:22" x14ac:dyDescent="0.4">
      <c r="B126" s="85">
        <v>90</v>
      </c>
      <c r="C126" s="45" t="str">
        <v/>
      </c>
      <c r="D126" s="129"/>
      <c r="E126" s="129"/>
      <c r="F126" s="63"/>
    </row>
    <row r="127" spans="2:22" x14ac:dyDescent="0.4">
      <c r="B127" s="85">
        <v>120</v>
      </c>
      <c r="C127" s="45" t="str">
        <v/>
      </c>
      <c r="D127" s="129"/>
      <c r="E127" s="129"/>
      <c r="F127" s="63"/>
    </row>
    <row r="129" spans="2:8" x14ac:dyDescent="0.4">
      <c r="B129" s="65">
        <f>C111</f>
        <v>797.72727272727298</v>
      </c>
      <c r="C129" s="58">
        <f>C46</f>
        <v>20000</v>
      </c>
      <c r="D129" s="129" t="s">
        <v>84</v>
      </c>
      <c r="E129" s="129"/>
    </row>
    <row r="130" spans="2:8" x14ac:dyDescent="0.4">
      <c r="B130" s="76">
        <v>45</v>
      </c>
      <c r="C130" s="45">
        <f t="dataTable" ref="C130:C133" dt2D="1" dtr="1" r1="C46" r2="C47" ca="1"/>
        <v>797.72727272727298</v>
      </c>
      <c r="D130" s="129"/>
      <c r="E130" s="129"/>
    </row>
    <row r="131" spans="2:8" x14ac:dyDescent="0.4">
      <c r="B131" s="76">
        <v>60</v>
      </c>
      <c r="C131" s="45">
        <v>1888.636363636364</v>
      </c>
      <c r="D131" s="129"/>
      <c r="E131" s="129"/>
    </row>
    <row r="132" spans="2:8" x14ac:dyDescent="0.4">
      <c r="B132" s="76">
        <v>70</v>
      </c>
      <c r="C132" s="45">
        <v>2615.909090909091</v>
      </c>
      <c r="D132" s="129"/>
      <c r="E132" s="129"/>
    </row>
    <row r="133" spans="2:8" x14ac:dyDescent="0.4">
      <c r="B133" s="76">
        <v>100</v>
      </c>
      <c r="C133" s="45">
        <v>4797.7272727272721</v>
      </c>
      <c r="D133" s="129"/>
      <c r="E133" s="129"/>
    </row>
    <row r="138" spans="2:8" ht="19.8" x14ac:dyDescent="0.65">
      <c r="B138" s="78"/>
      <c r="C138" s="78"/>
      <c r="D138" s="78"/>
      <c r="E138" s="78"/>
      <c r="F138" s="78"/>
      <c r="G138" s="78"/>
      <c r="H138" s="78"/>
    </row>
    <row r="139" spans="2:8" ht="19.8" x14ac:dyDescent="0.65">
      <c r="B139" s="78"/>
      <c r="C139" s="78"/>
      <c r="D139" s="78"/>
      <c r="E139" s="78"/>
      <c r="F139" s="78"/>
      <c r="G139" s="78"/>
      <c r="H139" s="78"/>
    </row>
    <row r="140" spans="2:8" ht="19.8" x14ac:dyDescent="0.65">
      <c r="B140" s="78"/>
      <c r="C140" s="78"/>
      <c r="D140" s="78"/>
      <c r="E140" s="78"/>
      <c r="F140" s="78"/>
      <c r="G140" s="78"/>
      <c r="H140" s="78"/>
    </row>
  </sheetData>
  <mergeCells count="21">
    <mergeCell ref="B2:H2"/>
    <mergeCell ref="B3:H3"/>
    <mergeCell ref="C5:D5"/>
    <mergeCell ref="C6:D6"/>
    <mergeCell ref="B71:H71"/>
    <mergeCell ref="C7:D7"/>
    <mergeCell ref="D129:E133"/>
    <mergeCell ref="Q14:S14"/>
    <mergeCell ref="B16:H16"/>
    <mergeCell ref="B30:H30"/>
    <mergeCell ref="D117:E121"/>
    <mergeCell ref="D123:E127"/>
    <mergeCell ref="B100:B101"/>
    <mergeCell ref="C100:C101"/>
    <mergeCell ref="B91:B93"/>
    <mergeCell ref="C91:C93"/>
    <mergeCell ref="B88:C89"/>
    <mergeCell ref="B90:C90"/>
    <mergeCell ref="B115:E115"/>
    <mergeCell ref="B44:H44"/>
    <mergeCell ref="B57:H57"/>
  </mergeCells>
  <conditionalFormatting sqref="C118:C121 F118:F121">
    <cfRule type="colorScale" priority="4">
      <colorScale>
        <cfvo type="min"/>
        <cfvo type="max"/>
        <color rgb="FFFCFCFF"/>
        <color rgb="FF63BE7B"/>
      </colorScale>
    </cfRule>
  </conditionalFormatting>
  <conditionalFormatting sqref="C124:C127 F124:F127">
    <cfRule type="colorScale" priority="3">
      <colorScale>
        <cfvo type="min"/>
        <cfvo type="max"/>
        <color rgb="FFFCFCFF"/>
        <color rgb="FF63BE7B"/>
      </colorScale>
    </cfRule>
  </conditionalFormatting>
  <conditionalFormatting sqref="C130:C133">
    <cfRule type="colorScale" priority="2">
      <colorScale>
        <cfvo type="min"/>
        <cfvo type="max"/>
        <color rgb="FFFCFCFF"/>
        <color rgb="FF63BE7B"/>
      </colorScale>
    </cfRule>
  </conditionalFormatting>
  <dataValidations count="5">
    <dataValidation type="list" allowBlank="1" showInputMessage="1" showErrorMessage="1" sqref="C76" xr:uid="{00000000-0002-0000-0000-000000000000}">
      <formula1>$X$8:$X$9</formula1>
    </dataValidation>
    <dataValidation type="list" allowBlank="1" showInputMessage="1" showErrorMessage="1" sqref="C13" xr:uid="{00000000-0002-0000-0000-000001000000}">
      <formula1>$Q$11:$Q$12</formula1>
    </dataValidation>
    <dataValidation type="list" allowBlank="1" showInputMessage="1" showErrorMessage="1" sqref="C9" xr:uid="{00000000-0002-0000-0000-000002000000}">
      <formula1>$Q$3:$Q$7</formula1>
    </dataValidation>
    <dataValidation type="list" allowBlank="1" showInputMessage="1" showErrorMessage="1" sqref="C10" xr:uid="{00000000-0002-0000-0000-000003000000}">
      <formula1>$M$7:$M$9</formula1>
    </dataValidation>
    <dataValidation type="list" allowBlank="1" showInputMessage="1" showErrorMessage="1" sqref="F75 F47 F60" xr:uid="{9CED8F31-5E32-48DB-95D5-F94E38134FFF}">
      <formula1>$N$75:$N$79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r:id="rId1"/>
  <headerFooter alignWithMargins="0"/>
  <rowBreaks count="3" manualBreakCount="3">
    <brk id="28" max="8" man="1"/>
    <brk id="70" max="8" man="1"/>
    <brk id="113" max="8" man="1"/>
  </rowBreaks>
  <colBreaks count="1" manualBreakCount="1">
    <brk id="15" min="1" max="116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BSO999929 xmlns="http://www.datev.de/BSOffice/999929">4308f78d-1b70-47cf-8953-dbd1a1b11177</BSO999929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l B x 3 U 3 6 5 f R y l A A A A 9 Q A A A B I A H A B D b 2 5 m a W c v U G F j a 2 F n Z S 5 4 b W w g o h g A K K A U A A A A A A A A A A A A A A A A A A A A A A A A A A A A h Y + x D o I w G I R f h X S n L T U m S H 7 K o G 6 S m J g Y 1 6 Z U a I R i a L G 8 m 4 O P 5 C u I U d T N 8 b 6 7 S + 7 u 1 x t k Q 1 M H F 9 V Z 3 Z o U R Z i i Q B n Z F t q U K e r d M Y x R x m E r 5 E m U K h j D x i a D 1 S m q n D s n h H j v s Z / h t i s J o z Q i h 3 y z k 5 V q R K i N d c J I h T 6 t 4 n 8 L c d i / x n C G F x T P Y 4 Y p k I l B r s 3 X Z + P c p / s D Y d n X r u 8 U L 1 S 4 W g O Z J J D 3 B f 4 A U E s D B B Q A A g A I A J Q c d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H H d T K I p H u A 4 A A A A R A A A A E w A c A E Z v c m 1 1 b G F z L 1 N l Y 3 R p b 2 4 x L m 0 g o h g A K K A U A A A A A A A A A A A A A A A A A A A A A A A A A A A A K 0 5 N L s n M z 1 M I h t C G 1 g B Q S w E C L Q A U A A I A C A C U H H d T f r l 9 H K U A A A D 1 A A A A E g A A A A A A A A A A A A A A A A A A A A A A Q 2 9 u Z m l n L 1 B h Y 2 t h Z 2 U u e G 1 s U E s B A i 0 A F A A C A A g A l B x 3 U w / K 6 a u k A A A A 6 Q A A A B M A A A A A A A A A A A A A A A A A 8 Q A A A F t D b 2 5 0 Z W 5 0 X 1 R 5 c G V z X S 5 4 b W x Q S w E C L Q A U A A I A C A C U H H d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G n g / 0 b + D U S W t k o h C w Q m R g A A A A A C A A A A A A A D Z g A A w A A A A B A A A A C t p 4 1 X Y B D 0 X 1 6 z R p L y c L c H A A A A A A S A A A C g A A A A E A A A A C S J / 4 J m j K E 6 A b F 8 L Y Q 6 r P Z Q A A A A s C c j k T R 2 s 9 U R u n 9 9 F 7 w N + t h S T A Q U M q T 6 D 6 W x W + b M m z v + H N e Y Y Y t M e 3 j M X k G q k w X U g P R b S f c I l C Z s x g J c P 3 c w S X l W / 3 S c A x R g f C O d g N x 3 P b c U A A A A y 7 y y t U 3 R 2 0 j + u Y D x h z C j a + O K Q F w = < / D a t a M a s h u p > 
</file>

<file path=customXml/itemProps1.xml><?xml version="1.0" encoding="utf-8"?>
<ds:datastoreItem xmlns:ds="http://schemas.openxmlformats.org/officeDocument/2006/customXml" ds:itemID="{E31C8079-1622-43DB-B3A0-2772AB585E7C}">
  <ds:schemaRefs>
    <ds:schemaRef ds:uri="http://www.datev.de/BSOffice/999929"/>
  </ds:schemaRefs>
</ds:datastoreItem>
</file>

<file path=customXml/itemProps2.xml><?xml version="1.0" encoding="utf-8"?>
<ds:datastoreItem xmlns:ds="http://schemas.openxmlformats.org/officeDocument/2006/customXml" ds:itemID="{27011540-8E8D-4A93-9C9F-FC573B5F86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Vergleich Pivater anschluss</vt:lpstr>
      <vt:lpstr>'Vergleich Pivater anschluss'!Druckbereich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Markus Wagner</cp:lastModifiedBy>
  <cp:lastPrinted>2021-11-24T17:57:22Z</cp:lastPrinted>
  <dcterms:created xsi:type="dcterms:W3CDTF">2021-11-16T08:59:20Z</dcterms:created>
  <dcterms:modified xsi:type="dcterms:W3CDTF">2026-07-22T06:42:31Z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